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Assumptions" sheetId="2" state="visible" r:id="rId2"/>
    <sheet name="Cash Flow" sheetId="3" state="visible" r:id="rId3"/>
    <sheet name="Prompt" sheetId="4" state="visible" r:id="rId4"/>
  </sheets>
  <definedNames/>
  <calcPr calcId="124519" fullCalcOnLoad="1"/>
</workbook>
</file>

<file path=xl/styles.xml><?xml version="1.0" encoding="utf-8"?>
<styleSheet xmlns="http://schemas.openxmlformats.org/spreadsheetml/2006/main">
  <numFmts count="9">
    <numFmt numFmtId="164" formatCode="#,##0&quot; Units&quot;"/>
    <numFmt numFmtId="165" formatCode="#,##0&quot; SF&quot;"/>
    <numFmt numFmtId="166" formatCode="0&quot; Month(s)&quot;"/>
    <numFmt numFmtId="167" formatCode="0&quot; Years&quot;"/>
    <numFmt numFmtId="168" formatCode="\$#,##0&quot; /Unit&quot;"/>
    <numFmt numFmtId="169" formatCode="#,##0;\(#,##0\);\-"/>
    <numFmt numFmtId="170" formatCode="0.0%"/>
    <numFmt numFmtId="171" formatCode="&quot;YEAR-&quot;0"/>
    <numFmt numFmtId="172" formatCode="0.00\x"/>
  </numFmts>
  <fonts count="9">
    <font>
      <name val="Calibri"/>
      <family val="2"/>
      <color theme="1"/>
      <sz val="11"/>
      <scheme val="minor"/>
    </font>
    <font>
      <name val="Aptos"/>
      <b val="1"/>
      <color rgb="FF1A1A1A"/>
      <sz val="13"/>
    </font>
    <font>
      <name val="Aptos"/>
      <color rgb="FF808080"/>
      <sz val="10"/>
    </font>
    <font>
      <name val="Aptos"/>
      <b val="1"/>
      <color rgb="FFFFFFFF"/>
      <sz val="10"/>
    </font>
    <font>
      <name val="Aptos"/>
      <color rgb="FF1A1A1A"/>
      <sz val="10"/>
    </font>
    <font>
      <name val="Aptos"/>
      <color rgb="FF0000FF"/>
      <sz val="10"/>
    </font>
    <font>
      <name val="Aptos"/>
      <b val="1"/>
      <color rgb="FF1A1A1A"/>
      <sz val="9"/>
    </font>
    <font>
      <name val="Aptos"/>
      <b val="1"/>
      <color rgb="FF1A1A1A"/>
      <sz val="10"/>
    </font>
    <font>
      <name val="Aptos"/>
      <color rgb="FF808080"/>
      <sz val="9"/>
    </font>
  </fonts>
  <fills count="6">
    <fill>
      <patternFill/>
    </fill>
    <fill>
      <patternFill patternType="gray125"/>
    </fill>
    <fill>
      <patternFill patternType="solid">
        <fgColor rgb="FFFFFFFF"/>
      </patternFill>
    </fill>
    <fill>
      <patternFill patternType="solid">
        <fgColor rgb="FF3A3F44"/>
      </patternFill>
    </fill>
    <fill>
      <patternFill patternType="solid">
        <fgColor rgb="FFC8CBCE"/>
      </patternFill>
    </fill>
    <fill>
      <patternFill patternType="solid">
        <fgColor rgb="FFE5E7E9"/>
      </patternFill>
    </fill>
  </fills>
  <borders count="5">
    <border>
      <left/>
      <right/>
      <top/>
      <bottom/>
      <diagonal/>
    </border>
    <border>
      <bottom style="thick">
        <color rgb="FF3A3F44"/>
      </bottom>
    </border>
    <border>
      <top style="medium">
        <color rgb="FF3A3F44"/>
      </top>
      <bottom style="thin">
        <color rgb="FFB9BDC1"/>
      </bottom>
    </border>
    <border>
      <top style="thin">
        <color rgb="FFB9BDC1"/>
      </top>
      <bottom style="thin">
        <color rgb="FFB9BDC1"/>
      </bottom>
    </border>
    <border>
      <top style="thin">
        <color rgb="FFB9BDC1"/>
      </top>
    </border>
  </borders>
  <cellStyleXfs count="1">
    <xf numFmtId="0" fontId="0" fillId="0" borderId="0"/>
  </cellStyleXfs>
  <cellXfs count="47">
    <xf numFmtId="0" fontId="0" fillId="0" borderId="0" pivotButton="0" quotePrefix="0" xfId="0"/>
    <xf numFmtId="0" fontId="0" fillId="2" borderId="0" pivotButton="0" quotePrefix="0" xfId="0"/>
    <xf numFmtId="0" fontId="1" fillId="2" borderId="0" applyAlignment="1" pivotButton="0" quotePrefix="0" xfId="0">
      <alignment horizontal="left" vertical="center"/>
    </xf>
    <xf numFmtId="0" fontId="2" fillId="2" borderId="1" applyAlignment="1" pivotButton="0" quotePrefix="0" xfId="0">
      <alignment horizontal="left" vertical="center"/>
    </xf>
    <xf numFmtId="0" fontId="0" fillId="2" borderId="1" pivotButton="0" quotePrefix="0" xfId="0"/>
    <xf numFmtId="0" fontId="3" fillId="3" borderId="2" applyAlignment="1" pivotButton="0" quotePrefix="0" xfId="0">
      <alignment horizontal="left" vertical="center"/>
    </xf>
    <xf numFmtId="0" fontId="4" fillId="2" borderId="0" applyAlignment="1" pivotButton="0" quotePrefix="0" xfId="0">
      <alignment horizontal="left" vertical="center"/>
    </xf>
    <xf numFmtId="0" fontId="4" fillId="2" borderId="0" applyAlignment="1" pivotButton="0" quotePrefix="0" xfId="0">
      <alignment horizontal="right" vertical="center"/>
    </xf>
    <xf numFmtId="0" fontId="6" fillId="4" borderId="3" applyAlignment="1" pivotButton="0" quotePrefix="0" xfId="0">
      <alignment horizontal="left" vertical="center"/>
    </xf>
    <xf numFmtId="0" fontId="6" fillId="4" borderId="3" applyAlignment="1" pivotButton="0" quotePrefix="0" xfId="0">
      <alignment horizontal="center" vertical="center"/>
    </xf>
    <xf numFmtId="170" fontId="7" fillId="2" borderId="0" applyAlignment="1" pivotButton="0" quotePrefix="0" xfId="0">
      <alignment horizontal="right" vertical="center"/>
    </xf>
    <xf numFmtId="172" fontId="7" fillId="2" borderId="0" applyAlignment="1" pivotButton="0" quotePrefix="0" xfId="0">
      <alignment horizontal="right" vertical="center"/>
    </xf>
    <xf numFmtId="169" fontId="7" fillId="2" borderId="0" applyAlignment="1" pivotButton="0" quotePrefix="0" xfId="0">
      <alignment horizontal="right" vertical="center"/>
    </xf>
    <xf numFmtId="169" fontId="4" fillId="2" borderId="0" applyAlignment="1" pivotButton="0" quotePrefix="0" xfId="0">
      <alignment horizontal="right" vertical="center"/>
    </xf>
    <xf numFmtId="164" fontId="4" fillId="2" borderId="0" applyAlignment="1" pivotButton="0" quotePrefix="0" xfId="0">
      <alignment horizontal="right" vertical="center"/>
    </xf>
    <xf numFmtId="9" fontId="4" fillId="2" borderId="0" applyAlignment="1" pivotButton="0" quotePrefix="0" xfId="0">
      <alignment horizontal="right" vertical="center"/>
    </xf>
    <xf numFmtId="165" fontId="4" fillId="2" borderId="0" applyAlignment="1" pivotButton="0" quotePrefix="0" xfId="0">
      <alignment horizontal="right" vertical="center"/>
    </xf>
    <xf numFmtId="10" fontId="4" fillId="2" borderId="0" applyAlignment="1" pivotButton="0" quotePrefix="0" xfId="0">
      <alignment horizontal="right" vertical="center"/>
    </xf>
    <xf numFmtId="167" fontId="4" fillId="2" borderId="0" applyAlignment="1" pivotButton="0" quotePrefix="0" xfId="0">
      <alignment horizontal="right" vertical="center"/>
    </xf>
    <xf numFmtId="166" fontId="4" fillId="2" borderId="0" applyAlignment="1" pivotButton="0" quotePrefix="0" xfId="0">
      <alignment horizontal="right" vertical="center"/>
    </xf>
    <xf numFmtId="172" fontId="4" fillId="2" borderId="0" applyAlignment="1" pivotButton="0" quotePrefix="0" xfId="0">
      <alignment horizontal="right" vertical="center"/>
    </xf>
    <xf numFmtId="170" fontId="4" fillId="2" borderId="0" applyAlignment="1" pivotButton="0" quotePrefix="0" xfId="0">
      <alignment horizontal="right" vertical="center"/>
    </xf>
    <xf numFmtId="0" fontId="7" fillId="5" borderId="4" applyAlignment="1" pivotButton="0" quotePrefix="0" xfId="0">
      <alignment horizontal="left" vertical="center"/>
    </xf>
    <xf numFmtId="9" fontId="7" fillId="5" borderId="4" applyAlignment="1" pivotButton="0" quotePrefix="0" xfId="0">
      <alignment horizontal="right" vertical="center"/>
    </xf>
    <xf numFmtId="169" fontId="7" fillId="5" borderId="4" applyAlignment="1" pivotButton="0" quotePrefix="0" xfId="0">
      <alignment horizontal="right" vertical="center"/>
    </xf>
    <xf numFmtId="0" fontId="8" fillId="2" borderId="0" applyAlignment="1" pivotButton="0" quotePrefix="0" xfId="0">
      <alignment horizontal="left" vertical="center"/>
    </xf>
    <xf numFmtId="0" fontId="5" fillId="2" borderId="0" applyAlignment="1" pivotButton="0" quotePrefix="0" xfId="0">
      <alignment horizontal="right" vertical="center"/>
    </xf>
    <xf numFmtId="0" fontId="6" fillId="4" borderId="3" pivotButton="0" quotePrefix="0" xfId="0"/>
    <xf numFmtId="170" fontId="5" fillId="2" borderId="0" applyAlignment="1" pivotButton="0" quotePrefix="0" xfId="0">
      <alignment horizontal="right" vertical="center"/>
    </xf>
    <xf numFmtId="0" fontId="7" fillId="5" borderId="4" pivotButton="0" quotePrefix="0" xfId="0"/>
    <xf numFmtId="170" fontId="7" fillId="5" borderId="4" applyAlignment="1" pivotButton="0" quotePrefix="0" xfId="0">
      <alignment horizontal="right" vertical="center"/>
    </xf>
    <xf numFmtId="164" fontId="5" fillId="2" borderId="0" applyAlignment="1" pivotButton="0" quotePrefix="0" xfId="0">
      <alignment horizontal="right" vertical="center"/>
    </xf>
    <xf numFmtId="165" fontId="5" fillId="2" borderId="0" applyAlignment="1" pivotButton="0" quotePrefix="0" xfId="0">
      <alignment horizontal="right" vertical="center"/>
    </xf>
    <xf numFmtId="9" fontId="5" fillId="2" borderId="0" applyAlignment="1" pivotButton="0" quotePrefix="0" xfId="0">
      <alignment horizontal="right" vertical="center"/>
    </xf>
    <xf numFmtId="169" fontId="5" fillId="2" borderId="0" applyAlignment="1" pivotButton="0" quotePrefix="0" xfId="0">
      <alignment horizontal="right" vertical="center"/>
    </xf>
    <xf numFmtId="166" fontId="5" fillId="2" borderId="0" applyAlignment="1" pivotButton="0" quotePrefix="0" xfId="0">
      <alignment horizontal="right" vertical="center"/>
    </xf>
    <xf numFmtId="167" fontId="5" fillId="2" borderId="0" applyAlignment="1" pivotButton="0" quotePrefix="0" xfId="0">
      <alignment horizontal="right" vertical="center"/>
    </xf>
    <xf numFmtId="168" fontId="5" fillId="2" borderId="0" applyAlignment="1" pivotButton="0" quotePrefix="0" xfId="0">
      <alignment horizontal="right" vertical="center"/>
    </xf>
    <xf numFmtId="168" fontId="4" fillId="2" borderId="0" applyAlignment="1" pivotButton="0" quotePrefix="0" xfId="0">
      <alignment horizontal="right" vertical="center"/>
    </xf>
    <xf numFmtId="10" fontId="5" fillId="2" borderId="0" applyAlignment="1" pivotButton="0" quotePrefix="0" xfId="0">
      <alignment horizontal="right" vertical="center"/>
    </xf>
    <xf numFmtId="0" fontId="4" fillId="4" borderId="3" applyAlignment="1" pivotButton="0" quotePrefix="0" xfId="0">
      <alignment horizontal="left" vertical="center"/>
    </xf>
    <xf numFmtId="171" fontId="6" fillId="4" borderId="3" applyAlignment="1" pivotButton="0" quotePrefix="0" xfId="0">
      <alignment horizontal="center" vertical="center"/>
    </xf>
    <xf numFmtId="2" fontId="4" fillId="2" borderId="0" applyAlignment="1" pivotButton="0" quotePrefix="0" xfId="0">
      <alignment horizontal="right" vertical="center"/>
    </xf>
    <xf numFmtId="0" fontId="0" fillId="4" borderId="3" pivotButton="0" quotePrefix="0" xfId="0"/>
    <xf numFmtId="0" fontId="6" fillId="4" borderId="3" applyAlignment="1" pivotButton="0" quotePrefix="0" xfId="0">
      <alignment horizontal="right" vertical="center"/>
    </xf>
    <xf numFmtId="0" fontId="7" fillId="2" borderId="0" applyAlignment="1" pivotButton="0" quotePrefix="0" xfId="0">
      <alignment horizontal="left" vertical="top" wrapText="1"/>
    </xf>
    <xf numFmtId="0" fontId="4" fillId="2" borderId="0"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K36"/>
  <sheetViews>
    <sheetView showGridLines="0" zoomScale="90" workbookViewId="0">
      <selection activeCell="A1" sqref="A1"/>
    </sheetView>
  </sheetViews>
  <sheetFormatPr baseColWidth="8" defaultRowHeight="15"/>
  <cols>
    <col width="2.6" customWidth="1" min="1" max="1"/>
    <col width="27" customWidth="1" min="2" max="2"/>
    <col width="13" customWidth="1" min="3" max="3"/>
    <col width="13" customWidth="1" min="4" max="4"/>
    <col width="13" customWidth="1" min="5" max="5"/>
    <col width="2.6" customWidth="1" min="6" max="6"/>
    <col width="27" customWidth="1" min="7" max="7"/>
    <col width="13" customWidth="1" min="8" max="8"/>
    <col width="13" customWidth="1" min="9" max="9"/>
    <col width="13" customWidth="1" min="10" max="10"/>
  </cols>
  <sheetData>
    <row r="1">
      <c r="A1" s="1" t="n"/>
      <c r="B1" s="1" t="n"/>
      <c r="C1" s="1" t="n"/>
      <c r="D1" s="1" t="n"/>
      <c r="E1" s="1" t="n"/>
      <c r="F1" s="1" t="n"/>
      <c r="G1" s="1" t="n"/>
      <c r="H1" s="1" t="n"/>
      <c r="I1" s="1" t="n"/>
      <c r="J1" s="1" t="n"/>
      <c r="K1" s="1" t="n"/>
    </row>
    <row r="2">
      <c r="A2" s="1" t="n"/>
      <c r="B2" s="2">
        <f>Assumptions!$E$7</f>
        <v/>
      </c>
      <c r="C2" s="1" t="n"/>
      <c r="D2" s="1" t="n"/>
      <c r="E2" s="1" t="n"/>
      <c r="F2" s="1" t="n"/>
      <c r="G2" s="1" t="n"/>
      <c r="H2" s="1" t="n"/>
      <c r="I2" s="1" t="n"/>
      <c r="J2" s="1" t="n"/>
      <c r="K2" s="1" t="n"/>
    </row>
    <row r="3">
      <c r="A3" s="1" t="n"/>
      <c r="B3" s="3" t="inlineStr">
        <is>
          <t>Summary &amp; Returns · this page only reads, the blue lives on Assumptions</t>
        </is>
      </c>
      <c r="C3" s="4" t="n"/>
      <c r="D3" s="4" t="n"/>
      <c r="E3" s="4" t="n"/>
      <c r="F3" s="4" t="n"/>
      <c r="G3" s="4" t="n"/>
      <c r="H3" s="4" t="n"/>
      <c r="I3" s="4" t="n"/>
      <c r="J3" s="4" t="n"/>
      <c r="K3" s="1" t="n"/>
    </row>
    <row r="4">
      <c r="A4" s="1" t="n"/>
      <c r="B4" s="1" t="n"/>
      <c r="C4" s="1" t="n"/>
      <c r="D4" s="1" t="n"/>
      <c r="E4" s="1" t="n"/>
      <c r="F4" s="1" t="n"/>
      <c r="G4" s="1" t="n"/>
      <c r="H4" s="1" t="n"/>
      <c r="I4" s="1" t="n"/>
      <c r="J4" s="1" t="n"/>
      <c r="K4" s="1" t="n"/>
    </row>
    <row r="5">
      <c r="A5" s="1" t="n"/>
      <c r="B5" s="5" t="inlineStr">
        <is>
          <t>Property Overview</t>
        </is>
      </c>
      <c r="C5" s="5" t="n"/>
      <c r="D5" s="5" t="n"/>
      <c r="E5" s="5" t="n"/>
      <c r="F5" s="1" t="n"/>
      <c r="G5" s="5" t="inlineStr">
        <is>
          <t>Returns Summary</t>
        </is>
      </c>
      <c r="H5" s="5" t="n"/>
      <c r="I5" s="5" t="n"/>
      <c r="J5" s="5" t="n"/>
      <c r="K5" s="1" t="n"/>
    </row>
    <row r="6">
      <c r="A6" s="1" t="n"/>
      <c r="B6" s="6" t="inlineStr">
        <is>
          <t>Property Name</t>
        </is>
      </c>
      <c r="C6" s="1" t="n"/>
      <c r="D6" s="1" t="n"/>
      <c r="E6" s="7">
        <f>Assumptions!$E$7</f>
        <v/>
      </c>
      <c r="F6" s="1" t="n"/>
      <c r="G6" s="8" t="inlineStr"/>
      <c r="H6" s="9" t="inlineStr">
        <is>
          <t>IRR</t>
        </is>
      </c>
      <c r="I6" s="9" t="inlineStr">
        <is>
          <t>EM</t>
        </is>
      </c>
      <c r="J6" s="9" t="inlineStr">
        <is>
          <t>PROFIT</t>
        </is>
      </c>
      <c r="K6" s="1" t="n"/>
    </row>
    <row r="7">
      <c r="A7" s="1" t="n"/>
      <c r="B7" s="6" t="inlineStr">
        <is>
          <t>Address</t>
        </is>
      </c>
      <c r="C7" s="1" t="n"/>
      <c r="D7" s="1" t="n"/>
      <c r="E7" s="7">
        <f>Assumptions!$E$8</f>
        <v/>
      </c>
      <c r="F7" s="1" t="n"/>
      <c r="G7" s="6" t="inlineStr">
        <is>
          <t>Levered, Deal Level</t>
        </is>
      </c>
      <c r="H7" s="10">
        <f>IRR('Cash Flow'!C64:M64)</f>
        <v/>
      </c>
      <c r="I7" s="11">
        <f>1+$J$7/Assumptions!$E$39</f>
        <v/>
      </c>
      <c r="J7" s="12">
        <f>SUM('Cash Flow'!C64:M64)</f>
        <v/>
      </c>
      <c r="K7" s="1" t="n"/>
    </row>
    <row r="8">
      <c r="A8" s="1" t="n"/>
      <c r="B8" s="6" t="inlineStr">
        <is>
          <t>Submarket</t>
        </is>
      </c>
      <c r="C8" s="1" t="n"/>
      <c r="D8" s="1" t="n"/>
      <c r="E8" s="7">
        <f>Assumptions!$E$10</f>
        <v/>
      </c>
      <c r="F8" s="1" t="n"/>
      <c r="G8" s="1" t="n"/>
      <c r="H8" s="1" t="n"/>
      <c r="I8" s="1" t="n"/>
      <c r="J8" s="1" t="n"/>
      <c r="K8" s="1" t="n"/>
    </row>
    <row r="9">
      <c r="A9" s="1" t="n"/>
      <c r="B9" s="6" t="inlineStr">
        <is>
          <t>Type / Class</t>
        </is>
      </c>
      <c r="C9" s="1" t="n"/>
      <c r="D9" s="1" t="n"/>
      <c r="E9" s="7">
        <f>Assumptions!$E$11</f>
        <v/>
      </c>
      <c r="F9" s="1" t="n"/>
      <c r="G9" s="5" t="inlineStr">
        <is>
          <t>Debt Summary</t>
        </is>
      </c>
      <c r="H9" s="5" t="n"/>
      <c r="I9" s="5" t="n"/>
      <c r="J9" s="5" t="n"/>
      <c r="K9" s="1" t="n"/>
    </row>
    <row r="10">
      <c r="A10" s="1" t="n"/>
      <c r="B10" s="6" t="inlineStr">
        <is>
          <t>Built / Renovated</t>
        </is>
      </c>
      <c r="C10" s="1" t="n"/>
      <c r="D10" s="1" t="n"/>
      <c r="E10" s="7">
        <f>Assumptions!$E$12</f>
        <v/>
      </c>
      <c r="F10" s="1" t="n"/>
      <c r="G10" s="6" t="inlineStr">
        <is>
          <t>Senior Loan</t>
        </is>
      </c>
      <c r="H10" s="1" t="n"/>
      <c r="I10" s="1" t="n"/>
      <c r="J10" s="13">
        <f>Assumptions!$J$51</f>
        <v/>
      </c>
      <c r="K10" s="1" t="n"/>
    </row>
    <row r="11">
      <c r="A11" s="1" t="n"/>
      <c r="B11" s="6" t="inlineStr">
        <is>
          <t>Number of Units</t>
        </is>
      </c>
      <c r="C11" s="1" t="n"/>
      <c r="D11" s="1" t="n"/>
      <c r="E11" s="14">
        <f>Assumptions!$E$12</f>
        <v/>
      </c>
      <c r="F11" s="1" t="n"/>
      <c r="G11" s="6" t="inlineStr">
        <is>
          <t>LTV</t>
        </is>
      </c>
      <c r="H11" s="1" t="n"/>
      <c r="I11" s="1" t="n"/>
      <c r="J11" s="15">
        <f>Assumptions!$J$41</f>
        <v/>
      </c>
      <c r="K11" s="1" t="n"/>
    </row>
    <row r="12">
      <c r="A12" s="1" t="n"/>
      <c r="B12" s="6" t="inlineStr">
        <is>
          <t>Average Unit SF</t>
        </is>
      </c>
      <c r="C12" s="1" t="n"/>
      <c r="D12" s="1" t="n"/>
      <c r="E12" s="16">
        <f>Assumptions!$E$13</f>
        <v/>
      </c>
      <c r="F12" s="1" t="n"/>
      <c r="G12" s="6" t="inlineStr">
        <is>
          <t>All-In Rate</t>
        </is>
      </c>
      <c r="H12" s="1" t="n"/>
      <c r="I12" s="1" t="n"/>
      <c r="J12" s="17">
        <f>Assumptions!$J$50</f>
        <v/>
      </c>
      <c r="K12" s="1" t="n"/>
    </row>
    <row r="13">
      <c r="A13" s="1" t="n"/>
      <c r="B13" s="6" t="inlineStr">
        <is>
          <t>Hold Period</t>
        </is>
      </c>
      <c r="C13" s="1" t="n"/>
      <c r="D13" s="1" t="n"/>
      <c r="E13" s="18">
        <f>Assumptions!$C$23</f>
        <v/>
      </c>
      <c r="F13" s="1" t="n"/>
      <c r="G13" s="6" t="inlineStr">
        <is>
          <t>Interest-Only</t>
        </is>
      </c>
      <c r="H13" s="1" t="n"/>
      <c r="I13" s="1" t="n"/>
      <c r="J13" s="19">
        <f>Assumptions!$J$46</f>
        <v/>
      </c>
      <c r="K13" s="1" t="n"/>
    </row>
    <row r="14">
      <c r="A14" s="1" t="n"/>
      <c r="B14" s="1" t="n"/>
      <c r="C14" s="1" t="n"/>
      <c r="D14" s="1" t="n"/>
      <c r="E14" s="1" t="n"/>
      <c r="F14" s="1" t="n"/>
      <c r="G14" s="6" t="inlineStr">
        <is>
          <t>Amortization</t>
        </is>
      </c>
      <c r="H14" s="1" t="n"/>
      <c r="I14" s="1" t="n"/>
      <c r="J14" s="19">
        <f>Assumptions!$J$47</f>
        <v/>
      </c>
      <c r="K14" s="1" t="n"/>
    </row>
    <row r="15">
      <c r="A15" s="1" t="n"/>
      <c r="B15" s="5" t="inlineStr">
        <is>
          <t>Sources &amp; Uses of Capital</t>
        </is>
      </c>
      <c r="C15" s="5" t="n"/>
      <c r="D15" s="5" t="n"/>
      <c r="E15" s="5" t="n"/>
      <c r="F15" s="1" t="n"/>
      <c r="G15" s="6" t="inlineStr">
        <is>
          <t>Loan Term</t>
        </is>
      </c>
      <c r="H15" s="1" t="n"/>
      <c r="I15" s="1" t="n"/>
      <c r="J15" s="19">
        <f>Assumptions!$J$48</f>
        <v/>
      </c>
      <c r="K15" s="1" t="n"/>
    </row>
    <row r="16">
      <c r="A16" s="1" t="n"/>
      <c r="B16" s="8" t="inlineStr">
        <is>
          <t>SOURCES</t>
        </is>
      </c>
      <c r="C16" s="9" t="inlineStr">
        <is>
          <t>%</t>
        </is>
      </c>
      <c r="D16" s="9" t="inlineStr">
        <is>
          <t>$</t>
        </is>
      </c>
      <c r="E16" s="9" t="inlineStr">
        <is>
          <t>$ /UNIT</t>
        </is>
      </c>
      <c r="F16" s="1" t="n"/>
      <c r="G16" s="6" t="inlineStr">
        <is>
          <t>Year-1 DSCR</t>
        </is>
      </c>
      <c r="H16" s="1" t="n"/>
      <c r="I16" s="1" t="n"/>
      <c r="J16" s="20">
        <f>-'Cash Flow'!C36/'Cash Flow'!C48</f>
        <v/>
      </c>
      <c r="K16" s="1" t="n"/>
    </row>
    <row r="17">
      <c r="A17" s="1" t="n"/>
      <c r="B17" s="6" t="inlineStr">
        <is>
          <t>Senior Loan</t>
        </is>
      </c>
      <c r="C17" s="15">
        <f>Assumptions!$E$35/Assumptions!$E$38</f>
        <v/>
      </c>
      <c r="D17" s="13">
        <f>Assumptions!$E$35</f>
        <v/>
      </c>
      <c r="E17" s="13">
        <f>Assumptions!$E$35/Assumptions!$E$12</f>
        <v/>
      </c>
      <c r="F17" s="1" t="n"/>
      <c r="G17" s="6" t="inlineStr">
        <is>
          <t>Year-1 Debt Yield</t>
        </is>
      </c>
      <c r="H17" s="1" t="n"/>
      <c r="I17" s="1" t="n"/>
      <c r="J17" s="21">
        <f>'Cash Flow'!C36/Assumptions!$J$51</f>
        <v/>
      </c>
      <c r="K17" s="1" t="n"/>
    </row>
    <row r="18">
      <c r="A18" s="1" t="n"/>
      <c r="B18" s="6" t="inlineStr">
        <is>
          <t>LP Equity</t>
        </is>
      </c>
      <c r="C18" s="15">
        <f>Assumptions!$E$36/Assumptions!$E$38</f>
        <v/>
      </c>
      <c r="D18" s="13">
        <f>Assumptions!$E$36</f>
        <v/>
      </c>
      <c r="E18" s="13">
        <f>Assumptions!$E$36/Assumptions!$E$12</f>
        <v/>
      </c>
      <c r="F18" s="1" t="n"/>
      <c r="G18" s="1" t="n"/>
      <c r="H18" s="1" t="n"/>
      <c r="I18" s="1" t="n"/>
      <c r="J18" s="1" t="n"/>
      <c r="K18" s="1" t="n"/>
    </row>
    <row r="19">
      <c r="A19" s="1" t="n"/>
      <c r="B19" s="6" t="inlineStr">
        <is>
          <t>GP Equity</t>
        </is>
      </c>
      <c r="C19" s="15">
        <f>Assumptions!$E$37/Assumptions!$E$38</f>
        <v/>
      </c>
      <c r="D19" s="13">
        <f>Assumptions!$E$37</f>
        <v/>
      </c>
      <c r="E19" s="13">
        <f>Assumptions!$E$37/Assumptions!$E$12</f>
        <v/>
      </c>
      <c r="F19" s="1" t="n"/>
      <c r="G19" s="5" t="inlineStr">
        <is>
          <t>Pro Forma Milestones</t>
        </is>
      </c>
      <c r="H19" s="5" t="n"/>
      <c r="I19" s="5" t="n"/>
      <c r="J19" s="5" t="n"/>
      <c r="K19" s="1" t="n"/>
    </row>
    <row r="20">
      <c r="A20" s="1" t="n"/>
      <c r="B20" s="22" t="inlineStr">
        <is>
          <t>TOTAL SOURCES</t>
        </is>
      </c>
      <c r="C20" s="23" t="n">
        <v>1</v>
      </c>
      <c r="D20" s="24">
        <f>Assumptions!$E$38</f>
        <v/>
      </c>
      <c r="E20" s="24">
        <f>Assumptions!$E$38/Assumptions!$E$12</f>
        <v/>
      </c>
      <c r="F20" s="1" t="n"/>
      <c r="G20" s="8" t="inlineStr"/>
      <c r="H20" s="9" t="inlineStr">
        <is>
          <t>YEAR-1</t>
        </is>
      </c>
      <c r="I20" s="9" t="inlineStr">
        <is>
          <t>STABILIZED</t>
        </is>
      </c>
      <c r="J20" s="9" t="inlineStr">
        <is>
          <t>AT SALE</t>
        </is>
      </c>
      <c r="K20" s="1" t="n"/>
    </row>
    <row r="21">
      <c r="A21" s="1" t="n"/>
      <c r="B21" s="8" t="inlineStr">
        <is>
          <t>USES</t>
        </is>
      </c>
      <c r="C21" s="9" t="inlineStr">
        <is>
          <t>%</t>
        </is>
      </c>
      <c r="D21" s="9" t="inlineStr">
        <is>
          <t>$</t>
        </is>
      </c>
      <c r="E21" s="9" t="inlineStr">
        <is>
          <t>$ /UNIT</t>
        </is>
      </c>
      <c r="F21" s="1" t="n"/>
      <c r="G21" s="6" t="inlineStr">
        <is>
          <t>Effective Gross Income</t>
        </is>
      </c>
      <c r="H21" s="13">
        <f>'Cash Flow'!C23</f>
        <v/>
      </c>
      <c r="I21" s="13">
        <f>'Cash Flow'!D23</f>
        <v/>
      </c>
      <c r="J21" s="13">
        <f>INDEX('Cash Flow'!$C$23:$M$23,Assumptions!$C$23)</f>
        <v/>
      </c>
      <c r="K21" s="1" t="n"/>
    </row>
    <row r="22">
      <c r="A22" s="1" t="n"/>
      <c r="B22" s="6" t="inlineStr">
        <is>
          <t>Purchase Price</t>
        </is>
      </c>
      <c r="C22" s="21">
        <f>Assumptions!$E$27/Assumptions!$E$33</f>
        <v/>
      </c>
      <c r="D22" s="13">
        <f>Assumptions!$E$27</f>
        <v/>
      </c>
      <c r="E22" s="13">
        <f>Assumptions!$E$27/Assumptions!$E$12</f>
        <v/>
      </c>
      <c r="F22" s="1" t="n"/>
      <c r="G22" s="6" t="inlineStr">
        <is>
          <t>Operating Expenses</t>
        </is>
      </c>
      <c r="H22" s="13">
        <f>'Cash Flow'!C34</f>
        <v/>
      </c>
      <c r="I22" s="13">
        <f>'Cash Flow'!D34</f>
        <v/>
      </c>
      <c r="J22" s="13">
        <f>INDEX('Cash Flow'!$C$34:$M$34,Assumptions!$C$23)</f>
        <v/>
      </c>
      <c r="K22" s="1" t="n"/>
    </row>
    <row r="23">
      <c r="A23" s="1" t="n"/>
      <c r="B23" s="6" t="inlineStr">
        <is>
          <t>Closing Costs, All-In</t>
        </is>
      </c>
      <c r="C23" s="21">
        <f>Assumptions!$E$28/Assumptions!$E$33</f>
        <v/>
      </c>
      <c r="D23" s="13">
        <f>Assumptions!$E$28</f>
        <v/>
      </c>
      <c r="E23" s="13">
        <f>Assumptions!$E$28/Assumptions!$E$12</f>
        <v/>
      </c>
      <c r="F23" s="1" t="n"/>
      <c r="G23" s="6" t="inlineStr">
        <is>
          <t>Net Operating Income</t>
        </is>
      </c>
      <c r="H23" s="13">
        <f>'Cash Flow'!C36</f>
        <v/>
      </c>
      <c r="I23" s="13">
        <f>'Cash Flow'!D36</f>
        <v/>
      </c>
      <c r="J23" s="13">
        <f>INDEX('Cash Flow'!$C$36:$M$36,Assumptions!$C$23)</f>
        <v/>
      </c>
      <c r="K23" s="1" t="n"/>
    </row>
    <row r="24">
      <c r="A24" s="1" t="n"/>
      <c r="B24" s="6" t="inlineStr">
        <is>
          <t>Sponsor Acquisition Fee</t>
        </is>
      </c>
      <c r="C24" s="21">
        <f>Assumptions!$E$29/Assumptions!$E$33</f>
        <v/>
      </c>
      <c r="D24" s="13">
        <f>Assumptions!$E$29</f>
        <v/>
      </c>
      <c r="E24" s="13">
        <f>Assumptions!$E$29/Assumptions!$E$12</f>
        <v/>
      </c>
      <c r="F24" s="1" t="n"/>
      <c r="G24" s="6" t="inlineStr">
        <is>
          <t>Yield on Cost</t>
        </is>
      </c>
      <c r="H24" s="17">
        <f>'Cash Flow'!C36/Assumptions!$E$33</f>
        <v/>
      </c>
      <c r="I24" s="17">
        <f>'Cash Flow'!D36/Assumptions!$E$33</f>
        <v/>
      </c>
      <c r="J24" s="17">
        <f>INDEX('Cash Flow'!$C$36:$M$36,Assumptions!$C$23)/Assumptions!$E$33</f>
        <v/>
      </c>
      <c r="K24" s="1" t="n"/>
    </row>
    <row r="25">
      <c r="A25" s="1" t="n"/>
      <c r="B25" s="6" t="inlineStr">
        <is>
          <t>Capital Improvements</t>
        </is>
      </c>
      <c r="C25" s="21">
        <f>Assumptions!$E$30/Assumptions!$E$33</f>
        <v/>
      </c>
      <c r="D25" s="13">
        <f>Assumptions!$E$30</f>
        <v/>
      </c>
      <c r="E25" s="13">
        <f>Assumptions!$E$30/Assumptions!$E$12</f>
        <v/>
      </c>
      <c r="F25" s="1" t="n"/>
      <c r="G25" s="1" t="n"/>
      <c r="H25" s="1" t="n"/>
      <c r="I25" s="1" t="n"/>
      <c r="J25" s="1" t="n"/>
      <c r="K25" s="1" t="n"/>
    </row>
    <row r="26">
      <c r="A26" s="1" t="n"/>
      <c r="B26" s="6" t="inlineStr">
        <is>
          <t>Debt Financing Costs</t>
        </is>
      </c>
      <c r="C26" s="21">
        <f>Assumptions!$E$31/Assumptions!$E$33</f>
        <v/>
      </c>
      <c r="D26" s="13">
        <f>Assumptions!$E$31</f>
        <v/>
      </c>
      <c r="E26" s="13">
        <f>Assumptions!$E$31/Assumptions!$E$12</f>
        <v/>
      </c>
      <c r="F26" s="1" t="n"/>
      <c r="G26" s="5" t="inlineStr">
        <is>
          <t>Investment Metrics</t>
        </is>
      </c>
      <c r="H26" s="5" t="n"/>
      <c r="I26" s="5" t="n"/>
      <c r="J26" s="5" t="n"/>
      <c r="K26" s="1" t="n"/>
    </row>
    <row r="27">
      <c r="A27" s="1" t="n"/>
      <c r="B27" s="6" t="inlineStr">
        <is>
          <t>Interest &amp; Operating Reserve</t>
        </is>
      </c>
      <c r="C27" s="21">
        <f>Assumptions!$E$32/Assumptions!$E$33</f>
        <v/>
      </c>
      <c r="D27" s="13">
        <f>Assumptions!$E$32</f>
        <v/>
      </c>
      <c r="E27" s="13">
        <f>Assumptions!$E$32/Assumptions!$E$12</f>
        <v/>
      </c>
      <c r="F27" s="1" t="n"/>
      <c r="G27" s="6" t="inlineStr">
        <is>
          <t>Year-1 Going-In Cap</t>
        </is>
      </c>
      <c r="H27" s="1" t="n"/>
      <c r="I27" s="1" t="n"/>
      <c r="J27" s="17">
        <f>'Cash Flow'!C36/Assumptions!$E$27</f>
        <v/>
      </c>
      <c r="K27" s="1" t="n"/>
    </row>
    <row r="28">
      <c r="A28" s="1" t="n"/>
      <c r="B28" s="22" t="inlineStr">
        <is>
          <t>TOTAL USES</t>
        </is>
      </c>
      <c r="C28" s="23" t="n">
        <v>1</v>
      </c>
      <c r="D28" s="24">
        <f>Assumptions!$E$33</f>
        <v/>
      </c>
      <c r="E28" s="24">
        <f>Assumptions!$E$33/Assumptions!$E$12</f>
        <v/>
      </c>
      <c r="F28" s="1" t="n"/>
      <c r="G28" s="6" t="inlineStr">
        <is>
          <t>Stabilized Yield on Cost</t>
        </is>
      </c>
      <c r="H28" s="1" t="n"/>
      <c r="I28" s="1" t="n"/>
      <c r="J28" s="17">
        <f>'Cash Flow'!D36/Assumptions!$E$33</f>
        <v/>
      </c>
      <c r="K28" s="1" t="n"/>
    </row>
    <row r="29">
      <c r="A29" s="1" t="n"/>
      <c r="B29" s="1" t="n"/>
      <c r="C29" s="1" t="n"/>
      <c r="D29" s="1" t="n"/>
      <c r="E29" s="1" t="n"/>
      <c r="F29" s="1" t="n"/>
      <c r="G29" s="6" t="inlineStr">
        <is>
          <t>Exit Cap Rate</t>
        </is>
      </c>
      <c r="H29" s="1" t="n"/>
      <c r="I29" s="1" t="n"/>
      <c r="J29" s="17">
        <f>Assumptions!$I$37</f>
        <v/>
      </c>
      <c r="K29" s="1" t="n"/>
    </row>
    <row r="30">
      <c r="A30" s="1" t="n"/>
      <c r="B30" s="1" t="n"/>
      <c r="C30" s="1" t="n"/>
      <c r="D30" s="1" t="n"/>
      <c r="E30" s="1" t="n"/>
      <c r="F30" s="1" t="n"/>
      <c r="G30" s="6" t="inlineStr">
        <is>
          <t>Going-In / Exit Cap Spread</t>
        </is>
      </c>
      <c r="H30" s="1" t="n"/>
      <c r="I30" s="1" t="n"/>
      <c r="J30" s="17">
        <f>Assumptions!$I$37-'Cash Flow'!C36/Assumptions!$E$27</f>
        <v/>
      </c>
      <c r="K30" s="1" t="n"/>
    </row>
    <row r="31">
      <c r="A31" s="1" t="n"/>
      <c r="B31" s="1" t="n"/>
      <c r="C31" s="1" t="n"/>
      <c r="D31" s="1" t="n"/>
      <c r="E31" s="1" t="n"/>
      <c r="F31" s="1" t="n"/>
      <c r="G31" s="6" t="inlineStr">
        <is>
          <t>Exit Value / Unit</t>
        </is>
      </c>
      <c r="H31" s="1" t="n"/>
      <c r="I31" s="1" t="n"/>
      <c r="J31" s="13">
        <f>'Cash Flow'!C57/Assumptions!$E$12</f>
        <v/>
      </c>
      <c r="K31" s="1" t="n"/>
    </row>
    <row r="32">
      <c r="A32" s="1" t="n"/>
      <c r="B32" s="1" t="n"/>
      <c r="C32" s="1" t="n"/>
      <c r="D32" s="1" t="n"/>
      <c r="E32" s="1" t="n"/>
      <c r="F32" s="1" t="n"/>
      <c r="G32" s="6" t="inlineStr">
        <is>
          <t>Year-1 Cash-on-Cash</t>
        </is>
      </c>
      <c r="H32" s="1" t="n"/>
      <c r="I32" s="1" t="n"/>
      <c r="J32" s="21">
        <f>('Cash Flow'!C42+'Cash Flow'!C48)/Assumptions!$E$39</f>
        <v/>
      </c>
      <c r="K32" s="1" t="n"/>
    </row>
    <row r="33">
      <c r="A33" s="1" t="n"/>
      <c r="B33" s="1" t="n"/>
      <c r="C33" s="1" t="n"/>
      <c r="D33" s="1" t="n"/>
      <c r="E33" s="1" t="n"/>
      <c r="F33" s="1" t="n"/>
      <c r="G33" s="1" t="n"/>
      <c r="H33" s="1" t="n"/>
      <c r="I33" s="1" t="n"/>
      <c r="J33" s="1" t="n"/>
      <c r="K33" s="1" t="n"/>
    </row>
    <row r="34">
      <c r="A34" s="1" t="n"/>
      <c r="B34" s="25" t="inlineStr">
        <is>
          <t>Every figure is invented. Set your own on the Assumptions tab; the Prompt tab teaches your Claude this file.</t>
        </is>
      </c>
      <c r="C34" s="1" t="n"/>
      <c r="D34" s="1" t="n"/>
      <c r="E34" s="1" t="n"/>
      <c r="F34" s="1" t="n"/>
      <c r="G34" s="1" t="n"/>
      <c r="H34" s="1" t="n"/>
      <c r="I34" s="1" t="n"/>
      <c r="J34" s="1" t="n"/>
      <c r="K34" s="1" t="n"/>
    </row>
    <row r="35">
      <c r="A35" s="1" t="n"/>
      <c r="B35" s="1" t="n"/>
      <c r="C35" s="1" t="n"/>
      <c r="D35" s="1" t="n"/>
      <c r="E35" s="1" t="n"/>
      <c r="F35" s="1" t="n"/>
      <c r="G35" s="1" t="n"/>
      <c r="H35" s="1" t="n"/>
      <c r="I35" s="1" t="n"/>
      <c r="J35" s="1" t="n"/>
      <c r="K35" s="1" t="n"/>
    </row>
    <row r="36">
      <c r="A36" s="1" t="n"/>
      <c r="B36" s="1" t="n"/>
      <c r="C36" s="1" t="n"/>
      <c r="D36" s="1" t="n"/>
      <c r="E36" s="1" t="n"/>
      <c r="F36" s="1" t="n"/>
      <c r="G36" s="1" t="n"/>
      <c r="H36" s="1" t="n"/>
      <c r="I36" s="1" t="n"/>
      <c r="J36" s="1" t="n"/>
      <c r="K36" s="1" t="n"/>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55"/>
  <sheetViews>
    <sheetView showGridLines="0" zoomScale="90" workbookViewId="0">
      <selection activeCell="A1" sqref="A1"/>
    </sheetView>
  </sheetViews>
  <sheetFormatPr baseColWidth="8" defaultRowHeight="15"/>
  <cols>
    <col width="2.6" customWidth="1" min="1" max="1"/>
    <col width="30" customWidth="1" min="2" max="2"/>
    <col width="11" customWidth="1" min="3" max="3"/>
    <col width="11" customWidth="1" min="4" max="4"/>
    <col width="13" customWidth="1" min="5" max="5"/>
    <col width="2.6" customWidth="1" min="6" max="6"/>
    <col width="30" customWidth="1" min="7" max="7"/>
    <col width="11" customWidth="1" min="8" max="8"/>
    <col width="11" customWidth="1" min="9" max="9"/>
    <col width="11" customWidth="1" min="10" max="10"/>
    <col width="13" customWidth="1" min="11" max="11"/>
  </cols>
  <sheetData>
    <row r="1">
      <c r="A1" s="1" t="n"/>
      <c r="B1" s="1" t="n"/>
      <c r="C1" s="1" t="n"/>
      <c r="D1" s="1" t="n"/>
      <c r="E1" s="1" t="n"/>
      <c r="F1" s="1" t="n"/>
      <c r="G1" s="1" t="n"/>
      <c r="H1" s="1" t="n"/>
      <c r="I1" s="1" t="n"/>
      <c r="J1" s="1" t="n"/>
      <c r="K1" s="1" t="n"/>
      <c r="L1" s="1" t="n"/>
    </row>
    <row r="2">
      <c r="A2" s="1" t="n"/>
      <c r="B2" s="2">
        <f>$E$7</f>
        <v/>
      </c>
      <c r="C2" s="1" t="n"/>
      <c r="D2" s="1" t="n"/>
      <c r="E2" s="1" t="n"/>
      <c r="F2" s="1" t="n"/>
      <c r="G2" s="1" t="n"/>
      <c r="H2" s="1" t="n"/>
      <c r="I2" s="1" t="n"/>
      <c r="J2" s="1" t="n"/>
      <c r="K2" s="1" t="n"/>
      <c r="L2" s="1" t="n"/>
    </row>
    <row r="3">
      <c r="A3" s="1" t="n"/>
      <c r="B3" s="3" t="inlineStr">
        <is>
          <t>Assumptions · every blue cell is yours to set</t>
        </is>
      </c>
      <c r="C3" s="4" t="n"/>
      <c r="D3" s="4" t="n"/>
      <c r="E3" s="4" t="n"/>
      <c r="F3" s="4" t="n"/>
      <c r="G3" s="4" t="n"/>
      <c r="H3" s="4" t="n"/>
      <c r="I3" s="4" t="n"/>
      <c r="J3" s="4" t="n"/>
      <c r="K3" s="4" t="n"/>
      <c r="L3" s="1" t="n"/>
    </row>
    <row r="4">
      <c r="A4" s="1" t="n"/>
      <c r="B4" s="1" t="n"/>
      <c r="C4" s="1" t="n"/>
      <c r="D4" s="1" t="n"/>
      <c r="E4" s="1" t="n"/>
      <c r="F4" s="1" t="n"/>
      <c r="G4" s="1" t="n"/>
      <c r="H4" s="1" t="n"/>
      <c r="I4" s="1" t="n"/>
      <c r="J4" s="1" t="n"/>
      <c r="K4" s="1" t="n"/>
      <c r="L4" s="1" t="n"/>
    </row>
    <row r="5">
      <c r="A5" s="1" t="n"/>
      <c r="B5" s="5" t="inlineStr">
        <is>
          <t>Property Information</t>
        </is>
      </c>
      <c r="C5" s="5" t="n"/>
      <c r="D5" s="5" t="n"/>
      <c r="E5" s="5" t="n"/>
      <c r="F5" s="1" t="n"/>
      <c r="G5" s="5" t="inlineStr">
        <is>
          <t>Economic Vacancy</t>
        </is>
      </c>
      <c r="H5" s="5" t="n"/>
      <c r="I5" s="5" t="n"/>
      <c r="J5" s="5" t="n"/>
      <c r="K5" s="5" t="n"/>
      <c r="L5" s="1" t="n"/>
    </row>
    <row r="6">
      <c r="A6" s="1" t="n"/>
      <c r="B6" s="6" t="inlineStr">
        <is>
          <t>Property Name</t>
        </is>
      </c>
      <c r="C6" s="1" t="n"/>
      <c r="D6" s="1" t="n"/>
      <c r="E6" s="26" t="inlineStr">
        <is>
          <t>Northside 122</t>
        </is>
      </c>
      <c r="F6" s="1" t="n"/>
      <c r="G6" s="8" t="inlineStr"/>
      <c r="H6" s="27" t="n"/>
      <c r="I6" s="9" t="inlineStr">
        <is>
          <t>YEAR-1</t>
        </is>
      </c>
      <c r="J6" s="9" t="inlineStr">
        <is>
          <t>STABILIZED</t>
        </is>
      </c>
      <c r="K6" s="27" t="n"/>
      <c r="L6" s="1" t="n"/>
    </row>
    <row r="7">
      <c r="A7" s="1" t="n"/>
      <c r="B7" s="6" t="inlineStr">
        <is>
          <t>Address</t>
        </is>
      </c>
      <c r="C7" s="1" t="n"/>
      <c r="D7" s="1" t="n"/>
      <c r="E7" s="26" t="inlineStr">
        <is>
          <t>1200 Founders Avenue</t>
        </is>
      </c>
      <c r="F7" s="1" t="n"/>
      <c r="G7" s="6" t="inlineStr">
        <is>
          <t>General Vacancy</t>
        </is>
      </c>
      <c r="H7" s="1" t="n"/>
      <c r="I7" s="28" t="n">
        <v>0.07000000000000001</v>
      </c>
      <c r="J7" s="28" t="n">
        <v>0.05</v>
      </c>
      <c r="K7" s="1" t="n"/>
      <c r="L7" s="1" t="n"/>
    </row>
    <row r="8">
      <c r="A8" s="1" t="n"/>
      <c r="B8" s="6" t="inlineStr">
        <is>
          <t>City &amp; State</t>
        </is>
      </c>
      <c r="C8" s="1" t="n"/>
      <c r="D8" s="1" t="n"/>
      <c r="E8" s="26" t="inlineStr">
        <is>
          <t>Ashford, Texas</t>
        </is>
      </c>
      <c r="F8" s="1" t="n"/>
      <c r="G8" s="6" t="inlineStr">
        <is>
          <t>Concessions</t>
        </is>
      </c>
      <c r="H8" s="1" t="n"/>
      <c r="I8" s="28" t="n">
        <v>0.015</v>
      </c>
      <c r="J8" s="28" t="n">
        <v>0.01</v>
      </c>
      <c r="K8" s="1" t="n"/>
      <c r="L8" s="1" t="n"/>
    </row>
    <row r="9">
      <c r="A9" s="1" t="n"/>
      <c r="B9" s="6" t="inlineStr">
        <is>
          <t>Submarket</t>
        </is>
      </c>
      <c r="C9" s="1" t="n"/>
      <c r="D9" s="1" t="n"/>
      <c r="E9" s="26" t="inlineStr">
        <is>
          <t>Northside</t>
        </is>
      </c>
      <c r="F9" s="1" t="n"/>
      <c r="G9" s="6" t="inlineStr">
        <is>
          <t>Bad Debt</t>
        </is>
      </c>
      <c r="H9" s="1" t="n"/>
      <c r="I9" s="28" t="n">
        <v>0.015</v>
      </c>
      <c r="J9" s="28" t="n">
        <v>0.01</v>
      </c>
      <c r="K9" s="1" t="n"/>
      <c r="L9" s="1" t="n"/>
    </row>
    <row r="10">
      <c r="A10" s="1" t="n"/>
      <c r="B10" s="6" t="inlineStr">
        <is>
          <t>Type / Class</t>
        </is>
      </c>
      <c r="C10" s="1" t="n"/>
      <c r="D10" s="1" t="n"/>
      <c r="E10" s="26" t="inlineStr">
        <is>
          <t>Garden · Class C+</t>
        </is>
      </c>
      <c r="F10" s="1" t="n"/>
      <c r="G10" s="22" t="inlineStr">
        <is>
          <t>TOTAL ECONOMIC LOSS</t>
        </is>
      </c>
      <c r="H10" s="29" t="n"/>
      <c r="I10" s="30">
        <f>SUM($I$7:$I$9)</f>
        <v/>
      </c>
      <c r="J10" s="30">
        <f>SUM($J$7:$J$9)</f>
        <v/>
      </c>
      <c r="K10" s="29" t="n"/>
      <c r="L10" s="1" t="n"/>
    </row>
    <row r="11">
      <c r="A11" s="1" t="n"/>
      <c r="B11" s="6" t="inlineStr">
        <is>
          <t>Built / Renovated</t>
        </is>
      </c>
      <c r="C11" s="1" t="n"/>
      <c r="D11" s="1" t="n"/>
      <c r="E11" s="26" t="inlineStr">
        <is>
          <t>1974 · Partial 2016</t>
        </is>
      </c>
      <c r="F11" s="1" t="n"/>
      <c r="G11" s="1" t="n"/>
      <c r="H11" s="1" t="n"/>
      <c r="I11" s="1" t="n"/>
      <c r="J11" s="1" t="n"/>
      <c r="K11" s="1" t="n"/>
      <c r="L11" s="1" t="n"/>
    </row>
    <row r="12">
      <c r="A12" s="1" t="n"/>
      <c r="B12" s="6" t="inlineStr">
        <is>
          <t>Number of Units</t>
        </is>
      </c>
      <c r="C12" s="1" t="n"/>
      <c r="D12" s="1" t="n"/>
      <c r="E12" s="31" t="n">
        <v>122</v>
      </c>
      <c r="F12" s="1" t="n"/>
      <c r="G12" s="5" t="inlineStr">
        <is>
          <t>Other Income Detail</t>
        </is>
      </c>
      <c r="H12" s="5" t="n"/>
      <c r="I12" s="5" t="n"/>
      <c r="J12" s="5" t="n"/>
      <c r="K12" s="5" t="n"/>
      <c r="L12" s="1" t="n"/>
    </row>
    <row r="13">
      <c r="A13" s="1" t="n"/>
      <c r="B13" s="6" t="inlineStr">
        <is>
          <t>Average Unit SF</t>
        </is>
      </c>
      <c r="C13" s="1" t="n"/>
      <c r="D13" s="1" t="n"/>
      <c r="E13" s="32" t="n">
        <v>862</v>
      </c>
      <c r="F13" s="1" t="n"/>
      <c r="G13" s="8" t="inlineStr"/>
      <c r="H13" s="9" t="inlineStr">
        <is>
          <t>% OF UNITS</t>
        </is>
      </c>
      <c r="I13" s="9" t="inlineStr">
        <is>
          <t>PER UNIT</t>
        </is>
      </c>
      <c r="J13" s="9" t="inlineStr">
        <is>
          <t>MONTHLY</t>
        </is>
      </c>
      <c r="K13" s="9" t="inlineStr">
        <is>
          <t>ANNUAL</t>
        </is>
      </c>
      <c r="L13" s="1" t="n"/>
    </row>
    <row r="14">
      <c r="A14" s="1" t="n"/>
      <c r="B14" s="6" t="inlineStr">
        <is>
          <t>Total RSF</t>
        </is>
      </c>
      <c r="C14" s="1" t="n"/>
      <c r="D14" s="1" t="n"/>
      <c r="E14" s="16">
        <f>$E$12*$E$13</f>
        <v/>
      </c>
      <c r="F14" s="1" t="n"/>
      <c r="G14" s="6" t="inlineStr">
        <is>
          <t>Utility Reimbursement</t>
        </is>
      </c>
      <c r="H14" s="33" t="n">
        <v>1</v>
      </c>
      <c r="I14" s="34" t="n">
        <v>45</v>
      </c>
      <c r="J14" s="13">
        <f>$H$14*$I$14*Assumptions!$E$12</f>
        <v/>
      </c>
      <c r="K14" s="13">
        <f>$J$14*12</f>
        <v/>
      </c>
      <c r="L14" s="1" t="n"/>
    </row>
    <row r="15">
      <c r="A15" s="1" t="n"/>
      <c r="B15" s="1" t="n"/>
      <c r="C15" s="1" t="n"/>
      <c r="D15" s="1" t="n"/>
      <c r="E15" s="1" t="n"/>
      <c r="F15" s="1" t="n"/>
      <c r="G15" s="6" t="inlineStr">
        <is>
          <t>Parking &amp; Carports</t>
        </is>
      </c>
      <c r="H15" s="33" t="n">
        <v>0.35</v>
      </c>
      <c r="I15" s="34" t="n">
        <v>35</v>
      </c>
      <c r="J15" s="13">
        <f>$H$15*$I$15*Assumptions!$E$12</f>
        <v/>
      </c>
      <c r="K15" s="13">
        <f>$J$15*12</f>
        <v/>
      </c>
      <c r="L15" s="1" t="n"/>
    </row>
    <row r="16">
      <c r="A16" s="1" t="n"/>
      <c r="B16" s="5" t="inlineStr">
        <is>
          <t>Key Dates</t>
        </is>
      </c>
      <c r="C16" s="5" t="n"/>
      <c r="D16" s="5" t="n"/>
      <c r="E16" s="5" t="n"/>
      <c r="F16" s="1" t="n"/>
      <c r="G16" s="6" t="inlineStr">
        <is>
          <t>Pet Rent &amp; Fees</t>
        </is>
      </c>
      <c r="H16" s="33" t="n">
        <v>0.3</v>
      </c>
      <c r="I16" s="34" t="n">
        <v>35</v>
      </c>
      <c r="J16" s="13">
        <f>$H$16*$I$16*Assumptions!$E$12</f>
        <v/>
      </c>
      <c r="K16" s="13">
        <f>$J$16*12</f>
        <v/>
      </c>
      <c r="L16" s="1" t="n"/>
    </row>
    <row r="17">
      <c r="A17" s="1" t="n"/>
      <c r="B17" s="8" t="inlineStr">
        <is>
          <t>MILESTONE</t>
        </is>
      </c>
      <c r="C17" s="9" t="inlineStr">
        <is>
          <t>MONTH</t>
        </is>
      </c>
      <c r="D17" s="27" t="n"/>
      <c r="E17" s="27" t="n"/>
      <c r="F17" s="1" t="n"/>
      <c r="G17" s="6" t="inlineStr">
        <is>
          <t>Fees &amp; Miscellaneous</t>
        </is>
      </c>
      <c r="H17" s="33" t="n">
        <v>1</v>
      </c>
      <c r="I17" s="34" t="n">
        <v>14</v>
      </c>
      <c r="J17" s="13">
        <f>$H$17*$I$17*Assumptions!$E$12</f>
        <v/>
      </c>
      <c r="K17" s="13">
        <f>$J$17*12</f>
        <v/>
      </c>
      <c r="L17" s="1" t="n"/>
    </row>
    <row r="18">
      <c r="A18" s="1" t="n"/>
      <c r="B18" s="6" t="inlineStr">
        <is>
          <t>Closing / Analysis Start</t>
        </is>
      </c>
      <c r="C18" s="35" t="n">
        <v>0</v>
      </c>
      <c r="D18" s="1" t="n"/>
      <c r="E18" s="1" t="n"/>
      <c r="F18" s="1" t="n"/>
      <c r="G18" s="22" t="inlineStr">
        <is>
          <t>TOTAL OTHER INCOME</t>
        </is>
      </c>
      <c r="H18" s="29" t="n"/>
      <c r="I18" s="29" t="n"/>
      <c r="J18" s="24">
        <f>SUM($J$14:$J$17)</f>
        <v/>
      </c>
      <c r="K18" s="24">
        <f>SUM($K$14:$K$17)</f>
        <v/>
      </c>
      <c r="L18" s="1" t="n"/>
    </row>
    <row r="19">
      <c r="A19" s="1" t="n"/>
      <c r="B19" s="6" t="inlineStr">
        <is>
          <t>Renovation Start</t>
        </is>
      </c>
      <c r="C19" s="35" t="n">
        <v>2</v>
      </c>
      <c r="D19" s="1" t="n"/>
      <c r="E19" s="1" t="n"/>
      <c r="F19" s="1" t="n"/>
      <c r="G19" s="1" t="n"/>
      <c r="H19" s="1" t="n"/>
      <c r="I19" s="1" t="n"/>
      <c r="J19" s="1" t="n"/>
      <c r="K19" s="1" t="n"/>
      <c r="L19" s="1" t="n"/>
    </row>
    <row r="20">
      <c r="A20" s="1" t="n"/>
      <c r="B20" s="6" t="inlineStr">
        <is>
          <t>Renovation Complete</t>
        </is>
      </c>
      <c r="C20" s="35" t="n">
        <v>14</v>
      </c>
      <c r="D20" s="1" t="n"/>
      <c r="E20" s="1" t="n"/>
      <c r="F20" s="1" t="n"/>
      <c r="G20" s="5" t="inlineStr">
        <is>
          <t>Operating Expenses</t>
        </is>
      </c>
      <c r="H20" s="5" t="n"/>
      <c r="I20" s="5" t="n"/>
      <c r="J20" s="5" t="n"/>
      <c r="K20" s="5" t="n"/>
      <c r="L20" s="1" t="n"/>
    </row>
    <row r="21">
      <c r="A21" s="1" t="n"/>
      <c r="B21" s="6" t="inlineStr">
        <is>
          <t>Stabilization</t>
        </is>
      </c>
      <c r="C21" s="35" t="n">
        <v>18</v>
      </c>
      <c r="D21" s="1" t="n"/>
      <c r="E21" s="1" t="n"/>
      <c r="F21" s="1" t="n"/>
      <c r="G21" s="8" t="inlineStr"/>
      <c r="H21" s="9" t="inlineStr">
        <is>
          <t>PER MO.</t>
        </is>
      </c>
      <c r="I21" s="9" t="inlineStr">
        <is>
          <t>PER UNIT /YR</t>
        </is>
      </c>
      <c r="J21" s="9" t="inlineStr">
        <is>
          <t>YEAR-1 $</t>
        </is>
      </c>
      <c r="K21" s="9" t="inlineStr">
        <is>
          <t>% OF EGI</t>
        </is>
      </c>
      <c r="L21" s="1" t="n"/>
    </row>
    <row r="22">
      <c r="A22" s="1" t="n"/>
      <c r="B22" s="6" t="inlineStr">
        <is>
          <t>Exit / Sale</t>
        </is>
      </c>
      <c r="C22" s="19">
        <f>$C$23*12</f>
        <v/>
      </c>
      <c r="D22" s="1" t="n"/>
      <c r="E22" s="1" t="n"/>
      <c r="F22" s="1" t="n"/>
      <c r="G22" s="6" t="inlineStr">
        <is>
          <t>Payroll &amp; Benefits</t>
        </is>
      </c>
      <c r="H22" s="13">
        <f>$I22/12</f>
        <v/>
      </c>
      <c r="I22" s="34" t="n">
        <v>1650</v>
      </c>
      <c r="J22" s="13">
        <f>$I22*Assumptions!$E$12</f>
        <v/>
      </c>
      <c r="K22" s="21">
        <f>$J22/'Cash Flow'!$C$23</f>
        <v/>
      </c>
      <c r="L22" s="1" t="n"/>
    </row>
    <row r="23">
      <c r="A23" s="1" t="n"/>
      <c r="B23" s="6" t="inlineStr">
        <is>
          <t>Hold Period</t>
        </is>
      </c>
      <c r="C23" s="36" t="n">
        <v>5</v>
      </c>
      <c r="D23" s="1" t="n"/>
      <c r="E23" s="1" t="n"/>
      <c r="F23" s="1" t="n"/>
      <c r="G23" s="6" t="inlineStr">
        <is>
          <t>Repairs, Maintenance &amp; Turnover</t>
        </is>
      </c>
      <c r="H23" s="13">
        <f>$I23/12</f>
        <v/>
      </c>
      <c r="I23" s="34" t="n">
        <v>1180</v>
      </c>
      <c r="J23" s="13">
        <f>$I23*Assumptions!$E$12</f>
        <v/>
      </c>
      <c r="K23" s="21">
        <f>$J23/'Cash Flow'!$C$23</f>
        <v/>
      </c>
      <c r="L23" s="1" t="n"/>
    </row>
    <row r="24">
      <c r="A24" s="1" t="n"/>
      <c r="B24" s="1" t="n"/>
      <c r="C24" s="1" t="n"/>
      <c r="D24" s="1" t="n"/>
      <c r="E24" s="1" t="n"/>
      <c r="F24" s="1" t="n"/>
      <c r="G24" s="6" t="inlineStr">
        <is>
          <t>Contract Services</t>
        </is>
      </c>
      <c r="H24" s="13">
        <f>$I24/12</f>
        <v/>
      </c>
      <c r="I24" s="34" t="n">
        <v>560</v>
      </c>
      <c r="J24" s="13">
        <f>$I24*Assumptions!$E$12</f>
        <v/>
      </c>
      <c r="K24" s="21">
        <f>$J24/'Cash Flow'!$C$23</f>
        <v/>
      </c>
      <c r="L24" s="1" t="n"/>
    </row>
    <row r="25">
      <c r="A25" s="1" t="n"/>
      <c r="B25" s="5" t="inlineStr">
        <is>
          <t>Sources &amp; Uses of Capital</t>
        </is>
      </c>
      <c r="C25" s="5" t="n"/>
      <c r="D25" s="5" t="n"/>
      <c r="E25" s="5" t="n"/>
      <c r="F25" s="1" t="n"/>
      <c r="G25" s="6" t="inlineStr">
        <is>
          <t>Utilities (Net of RUBS)</t>
        </is>
      </c>
      <c r="H25" s="13">
        <f>$I25/12</f>
        <v/>
      </c>
      <c r="I25" s="34" t="n">
        <v>780</v>
      </c>
      <c r="J25" s="13">
        <f>$I25*Assumptions!$E$12</f>
        <v/>
      </c>
      <c r="K25" s="21">
        <f>$J25/'Cash Flow'!$C$23</f>
        <v/>
      </c>
      <c r="L25" s="1" t="n"/>
    </row>
    <row r="26">
      <c r="A26" s="1" t="n"/>
      <c r="B26" s="8" t="inlineStr">
        <is>
          <t>USES</t>
        </is>
      </c>
      <c r="C26" s="9" t="inlineStr">
        <is>
          <t>ASSUMPTION</t>
        </is>
      </c>
      <c r="D26" s="27" t="n"/>
      <c r="E26" s="9" t="inlineStr">
        <is>
          <t>$</t>
        </is>
      </c>
      <c r="F26" s="1" t="n"/>
      <c r="G26" s="6" t="inlineStr">
        <is>
          <t>Administrative &amp; Marketing</t>
        </is>
      </c>
      <c r="H26" s="13">
        <f>$I26/12</f>
        <v/>
      </c>
      <c r="I26" s="34" t="n">
        <v>610</v>
      </c>
      <c r="J26" s="13">
        <f>$I26*Assumptions!$E$12</f>
        <v/>
      </c>
      <c r="K26" s="21">
        <f>$J26/'Cash Flow'!$C$23</f>
        <v/>
      </c>
      <c r="L26" s="1" t="n"/>
    </row>
    <row r="27">
      <c r="A27" s="1" t="n"/>
      <c r="B27" s="6" t="inlineStr">
        <is>
          <t>Purchase Price</t>
        </is>
      </c>
      <c r="C27" s="37" t="n">
        <v>90000</v>
      </c>
      <c r="D27" s="1" t="n"/>
      <c r="E27" s="13">
        <f>$C$27*Assumptions!$E$12</f>
        <v/>
      </c>
      <c r="F27" s="1" t="n"/>
      <c r="G27" s="6" t="inlineStr">
        <is>
          <t>Insurance</t>
        </is>
      </c>
      <c r="H27" s="13">
        <f>$I27/12</f>
        <v/>
      </c>
      <c r="I27" s="34" t="n">
        <v>650</v>
      </c>
      <c r="J27" s="13">
        <f>$I27*Assumptions!$E$12</f>
        <v/>
      </c>
      <c r="K27" s="21">
        <f>$J27/'Cash Flow'!$C$23</f>
        <v/>
      </c>
      <c r="L27" s="1" t="n"/>
    </row>
    <row r="28">
      <c r="A28" s="1" t="n"/>
      <c r="B28" s="6" t="inlineStr">
        <is>
          <t>Closing Costs, All-In</t>
        </is>
      </c>
      <c r="C28" s="28" t="n">
        <v>0.02</v>
      </c>
      <c r="D28" s="1" t="n"/>
      <c r="E28" s="13">
        <f>$C$28*$E$27</f>
        <v/>
      </c>
      <c r="F28" s="1" t="n"/>
      <c r="G28" s="22" t="inlineStr">
        <is>
          <t>TOTAL, EX. TAXES &amp; MGMT</t>
        </is>
      </c>
      <c r="H28" s="24">
        <f>SUM($H$22:$H$27)</f>
        <v/>
      </c>
      <c r="I28" s="24">
        <f>SUM($I$22:$I$27)</f>
        <v/>
      </c>
      <c r="J28" s="24">
        <f>SUM($J$22:$J$27)</f>
        <v/>
      </c>
      <c r="K28" s="30">
        <f>$J28/'Cash Flow'!$C$23</f>
        <v/>
      </c>
      <c r="L28" s="1" t="n"/>
    </row>
    <row r="29">
      <c r="A29" s="1" t="n"/>
      <c r="B29" s="6" t="inlineStr">
        <is>
          <t>Sponsor Acquisition Fee</t>
        </is>
      </c>
      <c r="C29" s="28" t="n">
        <v>0.01</v>
      </c>
      <c r="D29" s="1" t="n"/>
      <c r="E29" s="13">
        <f>$C$29*$E$27</f>
        <v/>
      </c>
      <c r="F29" s="1" t="n"/>
      <c r="G29" s="6" t="inlineStr">
        <is>
          <t>Management Fee, % of EGI</t>
        </is>
      </c>
      <c r="H29" s="1" t="n"/>
      <c r="I29" s="28" t="n">
        <v>0.03</v>
      </c>
      <c r="J29" s="1" t="n"/>
      <c r="K29" s="1" t="n"/>
      <c r="L29" s="1" t="n"/>
    </row>
    <row r="30">
      <c r="A30" s="1" t="n"/>
      <c r="B30" s="6" t="inlineStr">
        <is>
          <t>Capital Improvements</t>
        </is>
      </c>
      <c r="C30" s="37" t="n">
        <v>8500</v>
      </c>
      <c r="D30" s="1" t="n"/>
      <c r="E30" s="13">
        <f>$C$30*Assumptions!$E$12</f>
        <v/>
      </c>
      <c r="F30" s="1" t="n"/>
      <c r="G30" s="1" t="n"/>
      <c r="H30" s="1" t="n"/>
      <c r="I30" s="1" t="n"/>
      <c r="J30" s="1" t="n"/>
      <c r="K30" s="1" t="n"/>
      <c r="L30" s="1" t="n"/>
    </row>
    <row r="31">
      <c r="A31" s="1" t="n"/>
      <c r="B31" s="6" t="inlineStr">
        <is>
          <t>Debt Financing Costs</t>
        </is>
      </c>
      <c r="C31" s="1" t="n"/>
      <c r="D31" s="1" t="n"/>
      <c r="E31" s="13">
        <f>$J$49*$J$51</f>
        <v/>
      </c>
      <c r="F31" s="1" t="n"/>
      <c r="G31" s="5" t="inlineStr">
        <is>
          <t>Renovation Program</t>
        </is>
      </c>
      <c r="H31" s="5" t="n"/>
      <c r="I31" s="5" t="n"/>
      <c r="J31" s="5" t="n"/>
      <c r="K31" s="5" t="n"/>
      <c r="L31" s="1" t="n"/>
    </row>
    <row r="32">
      <c r="A32" s="1" t="n"/>
      <c r="B32" s="6" t="inlineStr">
        <is>
          <t>Interest &amp; Operating Reserve</t>
        </is>
      </c>
      <c r="C32" s="1" t="n"/>
      <c r="D32" s="1" t="n"/>
      <c r="E32" s="34" t="n">
        <v>150000</v>
      </c>
      <c r="F32" s="1" t="n"/>
      <c r="G32" s="6" t="inlineStr">
        <is>
          <t>Monthly Rent Premium</t>
        </is>
      </c>
      <c r="H32" s="1" t="n"/>
      <c r="I32" s="34" t="n">
        <v>150</v>
      </c>
      <c r="J32" s="1" t="n"/>
      <c r="K32" s="1" t="n"/>
      <c r="L32" s="1" t="n"/>
    </row>
    <row r="33">
      <c r="A33" s="1" t="n"/>
      <c r="B33" s="22" t="inlineStr">
        <is>
          <t>TOTAL USES</t>
        </is>
      </c>
      <c r="C33" s="29" t="n"/>
      <c r="D33" s="29" t="n"/>
      <c r="E33" s="24">
        <f>SUM($E$27:$E$32)</f>
        <v/>
      </c>
      <c r="F33" s="1" t="n"/>
      <c r="G33" s="6" t="inlineStr">
        <is>
          <t>Share Renovated by Year-2</t>
        </is>
      </c>
      <c r="H33" s="1" t="n"/>
      <c r="I33" s="33" t="n">
        <v>0.6</v>
      </c>
      <c r="J33" s="1" t="n"/>
      <c r="K33" s="1" t="n"/>
      <c r="L33" s="1" t="n"/>
    </row>
    <row r="34">
      <c r="A34" s="1" t="n"/>
      <c r="B34" s="8" t="inlineStr">
        <is>
          <t>SOURCES</t>
        </is>
      </c>
      <c r="C34" s="9" t="inlineStr">
        <is>
          <t>ASSUMPTION</t>
        </is>
      </c>
      <c r="D34" s="27" t="n"/>
      <c r="E34" s="9" t="inlineStr">
        <is>
          <t>$</t>
        </is>
      </c>
      <c r="F34" s="1" t="n"/>
      <c r="G34" s="6" t="inlineStr">
        <is>
          <t>Cost Per Unit</t>
        </is>
      </c>
      <c r="H34" s="1" t="n"/>
      <c r="I34" s="38">
        <f>Assumptions!$C$30</f>
        <v/>
      </c>
      <c r="J34" s="1" t="n"/>
      <c r="K34" s="1" t="n"/>
      <c r="L34" s="1" t="n"/>
    </row>
    <row r="35">
      <c r="A35" s="1" t="n"/>
      <c r="B35" s="6" t="inlineStr">
        <is>
          <t>Senior Loan</t>
        </is>
      </c>
      <c r="C35" s="1" t="n"/>
      <c r="D35" s="1" t="n"/>
      <c r="E35" s="13">
        <f>$J$51</f>
        <v/>
      </c>
      <c r="F35" s="1" t="n"/>
      <c r="G35" s="1" t="n"/>
      <c r="H35" s="1" t="n"/>
      <c r="I35" s="1" t="n"/>
      <c r="J35" s="1" t="n"/>
      <c r="K35" s="1" t="n"/>
      <c r="L35" s="1" t="n"/>
    </row>
    <row r="36">
      <c r="A36" s="1" t="n"/>
      <c r="B36" s="6" t="inlineStr">
        <is>
          <t>LP Equity</t>
        </is>
      </c>
      <c r="C36" s="33" t="n">
        <v>0.9</v>
      </c>
      <c r="D36" s="1" t="n"/>
      <c r="E36" s="13">
        <f>$C$36*($E$33-$E$35)</f>
        <v/>
      </c>
      <c r="F36" s="1" t="n"/>
      <c r="G36" s="5" t="inlineStr">
        <is>
          <t>Exit Assumptions</t>
        </is>
      </c>
      <c r="H36" s="5" t="n"/>
      <c r="I36" s="5" t="n"/>
      <c r="J36" s="5" t="n"/>
      <c r="K36" s="5" t="n"/>
      <c r="L36" s="1" t="n"/>
    </row>
    <row r="37">
      <c r="A37" s="1" t="n"/>
      <c r="B37" s="6" t="inlineStr">
        <is>
          <t>GP Equity</t>
        </is>
      </c>
      <c r="C37" s="15">
        <f>1-$C$36</f>
        <v/>
      </c>
      <c r="D37" s="1" t="n"/>
      <c r="E37" s="13">
        <f>$C$37*($E$33-$E$35)</f>
        <v/>
      </c>
      <c r="F37" s="1" t="n"/>
      <c r="G37" s="6" t="inlineStr">
        <is>
          <t>Exit Cap Rate</t>
        </is>
      </c>
      <c r="H37" s="1" t="n"/>
      <c r="I37" s="39" t="n">
        <v>0.0625</v>
      </c>
      <c r="J37" s="1" t="n"/>
      <c r="K37" s="1" t="n"/>
      <c r="L37" s="1" t="n"/>
    </row>
    <row r="38">
      <c r="A38" s="1" t="n"/>
      <c r="B38" s="22" t="inlineStr">
        <is>
          <t>TOTAL SOURCES</t>
        </is>
      </c>
      <c r="C38" s="29" t="n"/>
      <c r="D38" s="29" t="n"/>
      <c r="E38" s="24">
        <f>SUM($E$35:$E$37)</f>
        <v/>
      </c>
      <c r="F38" s="1" t="n"/>
      <c r="G38" s="6" t="inlineStr">
        <is>
          <t>Sales Cost, All-In</t>
        </is>
      </c>
      <c r="H38" s="1" t="n"/>
      <c r="I38" s="39" t="n">
        <v>0.0175</v>
      </c>
      <c r="J38" s="1" t="n"/>
      <c r="K38" s="1" t="n"/>
      <c r="L38" s="1" t="n"/>
    </row>
    <row r="39">
      <c r="A39" s="1" t="n"/>
      <c r="B39" s="6" t="inlineStr">
        <is>
          <t>Total Equity</t>
        </is>
      </c>
      <c r="C39" s="1" t="n"/>
      <c r="D39" s="1" t="n"/>
      <c r="E39" s="13">
        <f>$E$33-$E$35</f>
        <v/>
      </c>
      <c r="F39" s="1" t="n"/>
      <c r="G39" s="1" t="n"/>
      <c r="H39" s="1" t="n"/>
      <c r="I39" s="1" t="n"/>
      <c r="J39" s="1" t="n"/>
      <c r="K39" s="1" t="n"/>
      <c r="L39" s="1" t="n"/>
    </row>
    <row r="40">
      <c r="A40" s="1" t="n"/>
      <c r="B40" s="6" t="inlineStr">
        <is>
          <t>Check, Sources less Uses</t>
        </is>
      </c>
      <c r="C40" s="1" t="n"/>
      <c r="D40" s="1" t="n"/>
      <c r="E40" s="13">
        <f>$E$38-$E$33</f>
        <v/>
      </c>
      <c r="F40" s="1" t="n"/>
      <c r="G40" s="5" t="inlineStr">
        <is>
          <t>Financing Assumptions</t>
        </is>
      </c>
      <c r="H40" s="5" t="n"/>
      <c r="I40" s="5" t="n"/>
      <c r="J40" s="5" t="n"/>
      <c r="K40" s="5" t="n"/>
      <c r="L40" s="1" t="n"/>
    </row>
    <row r="41">
      <c r="A41" s="1" t="n"/>
      <c r="B41" s="1" t="n"/>
      <c r="C41" s="1" t="n"/>
      <c r="D41" s="1" t="n"/>
      <c r="E41" s="1" t="n"/>
      <c r="F41" s="1" t="n"/>
      <c r="G41" s="6" t="inlineStr">
        <is>
          <t>LTV</t>
        </is>
      </c>
      <c r="H41" s="1" t="n"/>
      <c r="I41" s="1" t="n"/>
      <c r="J41" s="33" t="n">
        <v>0.75</v>
      </c>
      <c r="K41" s="1" t="n"/>
      <c r="L41" s="1" t="n"/>
    </row>
    <row r="42">
      <c r="A42" s="1" t="n"/>
      <c r="B42" s="5" t="inlineStr">
        <is>
          <t>Real Estate Taxes</t>
        </is>
      </c>
      <c r="C42" s="5" t="n"/>
      <c r="D42" s="5" t="n"/>
      <c r="E42" s="5" t="n"/>
      <c r="F42" s="1" t="n"/>
      <c r="G42" s="6" t="inlineStr">
        <is>
          <t>Rate Type (Fixed / Floating)</t>
        </is>
      </c>
      <c r="H42" s="1" t="n"/>
      <c r="I42" s="1" t="n"/>
      <c r="J42" s="26" t="inlineStr">
        <is>
          <t>Fixed</t>
        </is>
      </c>
      <c r="K42" s="1" t="n"/>
      <c r="L42" s="1" t="n"/>
    </row>
    <row r="43">
      <c r="A43" s="1" t="n"/>
      <c r="B43" s="6" t="inlineStr">
        <is>
          <t>Assessed % of Purchase</t>
        </is>
      </c>
      <c r="C43" s="1" t="n"/>
      <c r="D43" s="1" t="n"/>
      <c r="E43" s="33" t="n">
        <v>0.85</v>
      </c>
      <c r="F43" s="1" t="n"/>
      <c r="G43" s="6" t="inlineStr">
        <is>
          <t>Fixed Rate</t>
        </is>
      </c>
      <c r="H43" s="1" t="n"/>
      <c r="I43" s="1" t="n"/>
      <c r="J43" s="39" t="n">
        <v>0.06</v>
      </c>
      <c r="K43" s="1" t="n"/>
      <c r="L43" s="1" t="n"/>
    </row>
    <row r="44">
      <c r="A44" s="1" t="n"/>
      <c r="B44" s="6" t="inlineStr">
        <is>
          <t>Combined Tax Rate</t>
        </is>
      </c>
      <c r="C44" s="1" t="n"/>
      <c r="D44" s="1" t="n"/>
      <c r="E44" s="39" t="n">
        <v>0.011</v>
      </c>
      <c r="F44" s="1" t="n"/>
      <c r="G44" s="6" t="inlineStr">
        <is>
          <t>Index</t>
        </is>
      </c>
      <c r="H44" s="1" t="n"/>
      <c r="I44" s="1" t="n"/>
      <c r="J44" s="39" t="n">
        <v>0.043</v>
      </c>
      <c r="K44" s="1" t="n"/>
      <c r="L44" s="1" t="n"/>
    </row>
    <row r="45">
      <c r="A45" s="1" t="n"/>
      <c r="B45" s="6" t="inlineStr">
        <is>
          <t>Year-1 Taxes</t>
        </is>
      </c>
      <c r="C45" s="1" t="n"/>
      <c r="D45" s="1" t="n"/>
      <c r="E45" s="13">
        <f>Assumptions!$E$27*$E$43*$E$44</f>
        <v/>
      </c>
      <c r="F45" s="1" t="n"/>
      <c r="G45" s="6" t="inlineStr">
        <is>
          <t>Spread</t>
        </is>
      </c>
      <c r="H45" s="1" t="n"/>
      <c r="I45" s="1" t="n"/>
      <c r="J45" s="39" t="n">
        <v>0.017</v>
      </c>
      <c r="K45" s="1" t="n"/>
      <c r="L45" s="1" t="n"/>
    </row>
    <row r="46">
      <c r="A46" s="1" t="n"/>
      <c r="B46" s="6" t="inlineStr">
        <is>
          <t>Tax Growth, Annual</t>
        </is>
      </c>
      <c r="C46" s="1" t="n"/>
      <c r="D46" s="1" t="n"/>
      <c r="E46" s="28" t="n">
        <v>0.02</v>
      </c>
      <c r="F46" s="1" t="n"/>
      <c r="G46" s="6" t="inlineStr">
        <is>
          <t>Interest-Only Period</t>
        </is>
      </c>
      <c r="H46" s="1" t="n"/>
      <c r="I46" s="1" t="n"/>
      <c r="J46" s="35" t="n">
        <v>24</v>
      </c>
      <c r="K46" s="1" t="n"/>
      <c r="L46" s="1" t="n"/>
    </row>
    <row r="47">
      <c r="A47" s="1" t="n"/>
      <c r="B47" s="1" t="n"/>
      <c r="C47" s="1" t="n"/>
      <c r="D47" s="1" t="n"/>
      <c r="E47" s="1" t="n"/>
      <c r="F47" s="1" t="n"/>
      <c r="G47" s="6" t="inlineStr">
        <is>
          <t>Amortization</t>
        </is>
      </c>
      <c r="H47" s="1" t="n"/>
      <c r="I47" s="1" t="n"/>
      <c r="J47" s="35" t="n">
        <v>360</v>
      </c>
      <c r="K47" s="1" t="n"/>
      <c r="L47" s="1" t="n"/>
    </row>
    <row r="48">
      <c r="A48" s="1" t="n"/>
      <c r="B48" s="5" t="inlineStr">
        <is>
          <t>Growth Rates</t>
        </is>
      </c>
      <c r="C48" s="5" t="n"/>
      <c r="D48" s="5" t="n"/>
      <c r="E48" s="5" t="n"/>
      <c r="F48" s="1" t="n"/>
      <c r="G48" s="6" t="inlineStr">
        <is>
          <t>Loan Term</t>
        </is>
      </c>
      <c r="H48" s="1" t="n"/>
      <c r="I48" s="1" t="n"/>
      <c r="J48" s="35" t="n">
        <v>120</v>
      </c>
      <c r="K48" s="1" t="n"/>
      <c r="L48" s="1" t="n"/>
    </row>
    <row r="49">
      <c r="A49" s="1" t="n"/>
      <c r="B49" s="6" t="inlineStr">
        <is>
          <t>Rent Growth, Annual</t>
        </is>
      </c>
      <c r="C49" s="1" t="n"/>
      <c r="D49" s="1" t="n"/>
      <c r="E49" s="28" t="n">
        <v>0.025</v>
      </c>
      <c r="F49" s="1" t="n"/>
      <c r="G49" s="6" t="inlineStr">
        <is>
          <t>Origination Fee</t>
        </is>
      </c>
      <c r="H49" s="1" t="n"/>
      <c r="I49" s="1" t="n"/>
      <c r="J49" s="39" t="n">
        <v>0.01</v>
      </c>
      <c r="K49" s="1" t="n"/>
      <c r="L49" s="1" t="n"/>
    </row>
    <row r="50">
      <c r="A50" s="1" t="n"/>
      <c r="B50" s="6" t="inlineStr">
        <is>
          <t>Other Income Growth</t>
        </is>
      </c>
      <c r="C50" s="1" t="n"/>
      <c r="D50" s="1" t="n"/>
      <c r="E50" s="28" t="n">
        <v>0.025</v>
      </c>
      <c r="F50" s="1" t="n"/>
      <c r="G50" s="6" t="inlineStr">
        <is>
          <t>All-In Rate</t>
        </is>
      </c>
      <c r="H50" s="1" t="n"/>
      <c r="I50" s="1" t="n"/>
      <c r="J50" s="17">
        <f>IF($J$42="Fixed",$J$43,$J$44+$J$45)</f>
        <v/>
      </c>
      <c r="K50" s="1" t="n"/>
      <c r="L50" s="1" t="n"/>
    </row>
    <row r="51">
      <c r="A51" s="1" t="n"/>
      <c r="B51" s="6" t="inlineStr">
        <is>
          <t>Expense Growth (ex. Taxes)</t>
        </is>
      </c>
      <c r="C51" s="1" t="n"/>
      <c r="D51" s="1" t="n"/>
      <c r="E51" s="28" t="n">
        <v>0.03</v>
      </c>
      <c r="F51" s="1" t="n"/>
      <c r="G51" s="22" t="inlineStr">
        <is>
          <t>SENIOR LOAN COMMITMENT</t>
        </is>
      </c>
      <c r="H51" s="29" t="n"/>
      <c r="I51" s="29" t="n"/>
      <c r="J51" s="24">
        <f>$J$41*Assumptions!$E$27</f>
        <v/>
      </c>
      <c r="K51" s="29" t="n"/>
      <c r="L51" s="1" t="n"/>
    </row>
    <row r="52">
      <c r="A52" s="1" t="n"/>
      <c r="B52" s="1" t="n"/>
      <c r="C52" s="1" t="n"/>
      <c r="D52" s="1" t="n"/>
      <c r="E52" s="1" t="n"/>
      <c r="F52" s="1" t="n"/>
      <c r="G52" s="1" t="n"/>
      <c r="H52" s="1" t="n"/>
      <c r="I52" s="1" t="n"/>
      <c r="J52" s="1" t="n"/>
      <c r="K52" s="1" t="n"/>
      <c r="L52" s="1" t="n"/>
    </row>
    <row r="53">
      <c r="A53" s="1" t="n"/>
      <c r="B53" s="25" t="inlineStr">
        <is>
          <t>Every figure is invented. Blue cells are yours; everything else recomputes. The Prompt tab teaches your Claude this file.</t>
        </is>
      </c>
      <c r="C53" s="1" t="n"/>
      <c r="D53" s="1" t="n"/>
      <c r="E53" s="1" t="n"/>
      <c r="F53" s="1" t="n"/>
      <c r="G53" s="1" t="n"/>
      <c r="H53" s="1" t="n"/>
      <c r="I53" s="1" t="n"/>
      <c r="J53" s="1" t="n"/>
      <c r="K53" s="1" t="n"/>
      <c r="L53" s="1" t="n"/>
    </row>
    <row r="54">
      <c r="A54" s="1" t="n"/>
      <c r="B54" s="1" t="n"/>
      <c r="C54" s="1" t="n"/>
      <c r="D54" s="1" t="n"/>
      <c r="E54" s="1" t="n"/>
      <c r="F54" s="1" t="n"/>
      <c r="G54" s="1" t="n"/>
      <c r="H54" s="1" t="n"/>
      <c r="I54" s="1" t="n"/>
      <c r="J54" s="1" t="n"/>
      <c r="K54" s="1" t="n"/>
      <c r="L54" s="1" t="n"/>
    </row>
    <row r="55">
      <c r="A55" s="1" t="n"/>
      <c r="B55" s="1" t="n"/>
      <c r="C55" s="1" t="n"/>
      <c r="D55" s="1" t="n"/>
      <c r="E55" s="1" t="n"/>
      <c r="F55" s="1" t="n"/>
      <c r="G55" s="1" t="n"/>
      <c r="H55" s="1" t="n"/>
      <c r="I55" s="1" t="n"/>
      <c r="J55" s="1" t="n"/>
      <c r="K55" s="1" t="n"/>
      <c r="L55" s="1" t="n"/>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N69"/>
  <sheetViews>
    <sheetView showGridLines="0" zoomScale="90" workbookViewId="0">
      <selection activeCell="A1" sqref="A1"/>
    </sheetView>
  </sheetViews>
  <sheetFormatPr baseColWidth="8" defaultRowHeight="15"/>
  <cols>
    <col width="2.6" customWidth="1" min="1" max="1"/>
    <col width="30" customWidth="1" min="2" max="2"/>
    <col width="11.5" customWidth="1" min="3" max="3"/>
    <col width="11.5" customWidth="1" min="4" max="4"/>
    <col width="11.5" customWidth="1" min="5" max="5"/>
    <col width="11.5" customWidth="1" min="6" max="6"/>
    <col width="11.5" customWidth="1" min="7" max="7"/>
    <col width="11.5" customWidth="1" min="8" max="8"/>
    <col width="11.5" customWidth="1" min="9" max="9"/>
    <col width="11.5" customWidth="1" min="10" max="10"/>
    <col width="11.5" customWidth="1" min="11" max="11"/>
    <col width="11.5" customWidth="1" min="12" max="12"/>
    <col width="11.5" customWidth="1" min="13" max="13"/>
  </cols>
  <sheetData>
    <row r="1">
      <c r="A1" s="1" t="n"/>
      <c r="B1" s="1" t="n"/>
      <c r="C1" s="1" t="n"/>
      <c r="D1" s="1" t="n"/>
      <c r="E1" s="1" t="n"/>
      <c r="F1" s="1" t="n"/>
      <c r="G1" s="1" t="n"/>
      <c r="H1" s="1" t="n"/>
      <c r="I1" s="1" t="n"/>
      <c r="J1" s="1" t="n"/>
      <c r="K1" s="1" t="n"/>
      <c r="L1" s="1" t="n"/>
      <c r="M1" s="1" t="n"/>
      <c r="N1" s="1" t="n"/>
    </row>
    <row r="2">
      <c r="A2" s="1" t="n"/>
      <c r="B2" s="2">
        <f>Assumptions!$E$7</f>
        <v/>
      </c>
      <c r="C2" s="1" t="n"/>
      <c r="D2" s="1" t="n"/>
      <c r="E2" s="1" t="n"/>
      <c r="F2" s="1" t="n"/>
      <c r="G2" s="1" t="n"/>
      <c r="H2" s="1" t="n"/>
      <c r="I2" s="1" t="n"/>
      <c r="J2" s="1" t="n"/>
      <c r="K2" s="1" t="n"/>
      <c r="L2" s="1" t="n"/>
      <c r="M2" s="1" t="n"/>
      <c r="N2" s="1" t="n"/>
    </row>
    <row r="3">
      <c r="A3" s="1" t="n"/>
      <c r="B3" s="3" t="inlineStr">
        <is>
          <t>Annual Cash Flow · ten operating years, the debt behind them, the exit priced off the hold you set</t>
        </is>
      </c>
      <c r="C3" s="4" t="n"/>
      <c r="D3" s="4" t="n"/>
      <c r="E3" s="4" t="n"/>
      <c r="F3" s="4" t="n"/>
      <c r="G3" s="4" t="n"/>
      <c r="H3" s="4" t="n"/>
      <c r="I3" s="4" t="n"/>
      <c r="J3" s="4" t="n"/>
      <c r="K3" s="4" t="n"/>
      <c r="L3" s="4" t="n"/>
      <c r="M3" s="4" t="n"/>
      <c r="N3" s="1" t="n"/>
    </row>
    <row r="4">
      <c r="A4" s="1" t="n"/>
      <c r="B4" s="1" t="n"/>
      <c r="C4" s="1" t="n"/>
      <c r="D4" s="1" t="n"/>
      <c r="E4" s="1" t="n"/>
      <c r="F4" s="1" t="n"/>
      <c r="G4" s="1" t="n"/>
      <c r="H4" s="1" t="n"/>
      <c r="I4" s="1" t="n"/>
      <c r="J4" s="1" t="n"/>
      <c r="K4" s="1" t="n"/>
      <c r="L4" s="1" t="n"/>
      <c r="M4" s="1" t="n"/>
      <c r="N4" s="1" t="n"/>
    </row>
    <row r="5">
      <c r="A5" s="1" t="n"/>
      <c r="B5" s="5" t="inlineStr">
        <is>
          <t>Revenue</t>
        </is>
      </c>
      <c r="C5" s="5" t="n"/>
      <c r="D5" s="5" t="n"/>
      <c r="E5" s="5" t="n"/>
      <c r="F5" s="5" t="n"/>
      <c r="G5" s="5" t="n"/>
      <c r="H5" s="5" t="n"/>
      <c r="I5" s="5" t="n"/>
      <c r="J5" s="5" t="n"/>
      <c r="K5" s="5" t="n"/>
      <c r="L5" s="5" t="n"/>
      <c r="M5" s="5" t="n"/>
      <c r="N5" s="1" t="n"/>
    </row>
    <row r="6">
      <c r="A6" s="1" t="n"/>
      <c r="B6" s="40" t="inlineStr"/>
      <c r="C6" s="41" t="n">
        <v>1</v>
      </c>
      <c r="D6" s="41" t="n">
        <v>2</v>
      </c>
      <c r="E6" s="41" t="n">
        <v>3</v>
      </c>
      <c r="F6" s="41" t="n">
        <v>4</v>
      </c>
      <c r="G6" s="41" t="n">
        <v>5</v>
      </c>
      <c r="H6" s="41" t="n">
        <v>6</v>
      </c>
      <c r="I6" s="41" t="n">
        <v>7</v>
      </c>
      <c r="J6" s="41" t="n">
        <v>8</v>
      </c>
      <c r="K6" s="41" t="n">
        <v>9</v>
      </c>
      <c r="L6" s="41" t="n">
        <v>10</v>
      </c>
      <c r="M6" s="41" t="n">
        <v>11</v>
      </c>
      <c r="N6" s="1" t="n"/>
    </row>
    <row r="7">
      <c r="A7" s="1" t="n"/>
      <c r="B7" s="6" t="inlineStr">
        <is>
          <t>Average In-Place Rent, Month One</t>
        </is>
      </c>
      <c r="C7" s="34" t="n">
        <v>1070</v>
      </c>
      <c r="D7" s="1" t="n"/>
      <c r="E7" s="1" t="n"/>
      <c r="F7" s="1" t="n"/>
      <c r="G7" s="1" t="n"/>
      <c r="H7" s="1" t="n"/>
      <c r="I7" s="1" t="n"/>
      <c r="J7" s="1" t="n"/>
      <c r="K7" s="1" t="n"/>
      <c r="L7" s="1" t="n"/>
      <c r="M7" s="1" t="n"/>
      <c r="N7" s="1" t="n"/>
    </row>
    <row r="8">
      <c r="A8" s="1" t="n"/>
      <c r="B8" s="6" t="inlineStr">
        <is>
          <t>Rent Growth Applied</t>
        </is>
      </c>
      <c r="C8" s="1" t="n"/>
      <c r="D8" s="21">
        <f>Assumptions!$E$49</f>
        <v/>
      </c>
      <c r="E8" s="21">
        <f>Assumptions!$E$49</f>
        <v/>
      </c>
      <c r="F8" s="21">
        <f>Assumptions!$E$49</f>
        <v/>
      </c>
      <c r="G8" s="21">
        <f>Assumptions!$E$49</f>
        <v/>
      </c>
      <c r="H8" s="21">
        <f>Assumptions!$E$49</f>
        <v/>
      </c>
      <c r="I8" s="21">
        <f>Assumptions!$E$49</f>
        <v/>
      </c>
      <c r="J8" s="21">
        <f>Assumptions!$E$49</f>
        <v/>
      </c>
      <c r="K8" s="21">
        <f>Assumptions!$E$49</f>
        <v/>
      </c>
      <c r="L8" s="21">
        <f>Assumptions!$E$49</f>
        <v/>
      </c>
      <c r="M8" s="21">
        <f>Assumptions!$E$49</f>
        <v/>
      </c>
      <c r="N8" s="1" t="n"/>
    </row>
    <row r="9">
      <c r="A9" s="1" t="n"/>
      <c r="B9" s="6" t="inlineStr">
        <is>
          <t>Cumulative Rent Factor</t>
        </is>
      </c>
      <c r="C9" s="42" t="n">
        <v>1</v>
      </c>
      <c r="D9" s="42">
        <f>C9*(1+D8)</f>
        <v/>
      </c>
      <c r="E9" s="42">
        <f>D9*(1+E8)</f>
        <v/>
      </c>
      <c r="F9" s="42">
        <f>E9*(1+F8)</f>
        <v/>
      </c>
      <c r="G9" s="42">
        <f>F9*(1+G8)</f>
        <v/>
      </c>
      <c r="H9" s="42">
        <f>G9*(1+H8)</f>
        <v/>
      </c>
      <c r="I9" s="42">
        <f>H9*(1+I8)</f>
        <v/>
      </c>
      <c r="J9" s="42">
        <f>I9*(1+J8)</f>
        <v/>
      </c>
      <c r="K9" s="42">
        <f>J9*(1+K8)</f>
        <v/>
      </c>
      <c r="L9" s="42">
        <f>K9*(1+L8)</f>
        <v/>
      </c>
      <c r="M9" s="42">
        <f>L9*(1+M8)</f>
        <v/>
      </c>
      <c r="N9" s="1" t="n"/>
    </row>
    <row r="10">
      <c r="A10" s="1" t="n"/>
      <c r="B10" s="6" t="inlineStr">
        <is>
          <t>Share of Units Renovated</t>
        </is>
      </c>
      <c r="C10" s="15" t="n">
        <v>0</v>
      </c>
      <c r="D10" s="15">
        <f>Assumptions!$I$33</f>
        <v/>
      </c>
      <c r="E10" s="15" t="n">
        <v>1</v>
      </c>
      <c r="F10" s="15" t="n">
        <v>1</v>
      </c>
      <c r="G10" s="15" t="n">
        <v>1</v>
      </c>
      <c r="H10" s="15" t="n">
        <v>1</v>
      </c>
      <c r="I10" s="15" t="n">
        <v>1</v>
      </c>
      <c r="J10" s="15" t="n">
        <v>1</v>
      </c>
      <c r="K10" s="15" t="n">
        <v>1</v>
      </c>
      <c r="L10" s="15" t="n">
        <v>1</v>
      </c>
      <c r="M10" s="15" t="n">
        <v>1</v>
      </c>
      <c r="N10" s="1" t="n"/>
    </row>
    <row r="11">
      <c r="A11" s="1" t="n"/>
      <c r="B11" s="6" t="inlineStr">
        <is>
          <t>Blended Rent, Per Month</t>
        </is>
      </c>
      <c r="C11" s="13">
        <f>$C$7*C9+C10*Assumptions!$I$32</f>
        <v/>
      </c>
      <c r="D11" s="13">
        <f>$C$7*D9+D10*Assumptions!$I$32</f>
        <v/>
      </c>
      <c r="E11" s="13">
        <f>$C$7*E9+E10*Assumptions!$I$32</f>
        <v/>
      </c>
      <c r="F11" s="13">
        <f>$C$7*F9+F10*Assumptions!$I$32</f>
        <v/>
      </c>
      <c r="G11" s="13">
        <f>$C$7*G9+G10*Assumptions!$I$32</f>
        <v/>
      </c>
      <c r="H11" s="13">
        <f>$C$7*H9+H10*Assumptions!$I$32</f>
        <v/>
      </c>
      <c r="I11" s="13">
        <f>$C$7*I9+I10*Assumptions!$I$32</f>
        <v/>
      </c>
      <c r="J11" s="13">
        <f>$C$7*J9+J10*Assumptions!$I$32</f>
        <v/>
      </c>
      <c r="K11" s="13">
        <f>$C$7*K9+K10*Assumptions!$I$32</f>
        <v/>
      </c>
      <c r="L11" s="13">
        <f>$C$7*L9+L10*Assumptions!$I$32</f>
        <v/>
      </c>
      <c r="M11" s="13">
        <f>$C$7*M9+M10*Assumptions!$I$32</f>
        <v/>
      </c>
      <c r="N11" s="1" t="n"/>
    </row>
    <row r="12">
      <c r="A12" s="1" t="n"/>
      <c r="B12" s="6" t="inlineStr">
        <is>
          <t>Gross Potential Rent</t>
        </is>
      </c>
      <c r="C12" s="13">
        <f>Assumptions!$E$12*C11*12</f>
        <v/>
      </c>
      <c r="D12" s="13">
        <f>Assumptions!$E$12*D11*12</f>
        <v/>
      </c>
      <c r="E12" s="13">
        <f>Assumptions!$E$12*E11*12</f>
        <v/>
      </c>
      <c r="F12" s="13">
        <f>Assumptions!$E$12*F11*12</f>
        <v/>
      </c>
      <c r="G12" s="13">
        <f>Assumptions!$E$12*G11*12</f>
        <v/>
      </c>
      <c r="H12" s="13">
        <f>Assumptions!$E$12*H11*12</f>
        <v/>
      </c>
      <c r="I12" s="13">
        <f>Assumptions!$E$12*I11*12</f>
        <v/>
      </c>
      <c r="J12" s="13">
        <f>Assumptions!$E$12*J11*12</f>
        <v/>
      </c>
      <c r="K12" s="13">
        <f>Assumptions!$E$12*K11*12</f>
        <v/>
      </c>
      <c r="L12" s="13">
        <f>Assumptions!$E$12*L11*12</f>
        <v/>
      </c>
      <c r="M12" s="13">
        <f>Assumptions!$E$12*M11*12</f>
        <v/>
      </c>
      <c r="N12" s="1" t="n"/>
    </row>
    <row r="13">
      <c r="A13" s="1" t="n"/>
      <c r="B13" s="6" t="inlineStr">
        <is>
          <t>General Vacancy Applied</t>
        </is>
      </c>
      <c r="C13" s="21">
        <f>Assumptions!$I$7</f>
        <v/>
      </c>
      <c r="D13" s="21">
        <f>Assumptions!$J$7</f>
        <v/>
      </c>
      <c r="E13" s="21">
        <f>Assumptions!$J$7</f>
        <v/>
      </c>
      <c r="F13" s="21">
        <f>Assumptions!$J$7</f>
        <v/>
      </c>
      <c r="G13" s="21">
        <f>Assumptions!$J$7</f>
        <v/>
      </c>
      <c r="H13" s="21">
        <f>Assumptions!$J$7</f>
        <v/>
      </c>
      <c r="I13" s="21">
        <f>Assumptions!$J$7</f>
        <v/>
      </c>
      <c r="J13" s="21">
        <f>Assumptions!$J$7</f>
        <v/>
      </c>
      <c r="K13" s="21">
        <f>Assumptions!$J$7</f>
        <v/>
      </c>
      <c r="L13" s="21">
        <f>Assumptions!$J$7</f>
        <v/>
      </c>
      <c r="M13" s="21">
        <f>Assumptions!$J$7</f>
        <v/>
      </c>
      <c r="N13" s="1" t="n"/>
    </row>
    <row r="14">
      <c r="A14" s="1" t="n"/>
      <c r="B14" s="6" t="inlineStr">
        <is>
          <t>(Less): General Vacancy</t>
        </is>
      </c>
      <c r="C14" s="13">
        <f>-C12*C13</f>
        <v/>
      </c>
      <c r="D14" s="13">
        <f>-D12*D13</f>
        <v/>
      </c>
      <c r="E14" s="13">
        <f>-E12*E13</f>
        <v/>
      </c>
      <c r="F14" s="13">
        <f>-F12*F13</f>
        <v/>
      </c>
      <c r="G14" s="13">
        <f>-G12*G13</f>
        <v/>
      </c>
      <c r="H14" s="13">
        <f>-H12*H13</f>
        <v/>
      </c>
      <c r="I14" s="13">
        <f>-I12*I13</f>
        <v/>
      </c>
      <c r="J14" s="13">
        <f>-J12*J13</f>
        <v/>
      </c>
      <c r="K14" s="13">
        <f>-K12*K13</f>
        <v/>
      </c>
      <c r="L14" s="13">
        <f>-L12*L13</f>
        <v/>
      </c>
      <c r="M14" s="13">
        <f>-M12*M13</f>
        <v/>
      </c>
      <c r="N14" s="1" t="n"/>
    </row>
    <row r="15">
      <c r="A15" s="1" t="n"/>
      <c r="B15" s="6" t="inlineStr">
        <is>
          <t>(Less): Concessions</t>
        </is>
      </c>
      <c r="C15" s="13">
        <f>-C12*Assumptions!$I$8</f>
        <v/>
      </c>
      <c r="D15" s="13">
        <f>-D12*Assumptions!$J$8</f>
        <v/>
      </c>
      <c r="E15" s="13">
        <f>-E12*Assumptions!$J$8</f>
        <v/>
      </c>
      <c r="F15" s="13">
        <f>-F12*Assumptions!$J$8</f>
        <v/>
      </c>
      <c r="G15" s="13">
        <f>-G12*Assumptions!$J$8</f>
        <v/>
      </c>
      <c r="H15" s="13">
        <f>-H12*Assumptions!$J$8</f>
        <v/>
      </c>
      <c r="I15" s="13">
        <f>-I12*Assumptions!$J$8</f>
        <v/>
      </c>
      <c r="J15" s="13">
        <f>-J12*Assumptions!$J$8</f>
        <v/>
      </c>
      <c r="K15" s="13">
        <f>-K12*Assumptions!$J$8</f>
        <v/>
      </c>
      <c r="L15" s="13">
        <f>-L12*Assumptions!$J$8</f>
        <v/>
      </c>
      <c r="M15" s="13">
        <f>-M12*Assumptions!$J$8</f>
        <v/>
      </c>
      <c r="N15" s="1" t="n"/>
    </row>
    <row r="16">
      <c r="A16" s="1" t="n"/>
      <c r="B16" s="6" t="inlineStr">
        <is>
          <t>(Less): Bad Debt</t>
        </is>
      </c>
      <c r="C16" s="13">
        <f>-C12*Assumptions!$I$9</f>
        <v/>
      </c>
      <c r="D16" s="13">
        <f>-D12*Assumptions!$J$9</f>
        <v/>
      </c>
      <c r="E16" s="13">
        <f>-E12*Assumptions!$J$9</f>
        <v/>
      </c>
      <c r="F16" s="13">
        <f>-F12*Assumptions!$J$9</f>
        <v/>
      </c>
      <c r="G16" s="13">
        <f>-G12*Assumptions!$J$9</f>
        <v/>
      </c>
      <c r="H16" s="13">
        <f>-H12*Assumptions!$J$9</f>
        <v/>
      </c>
      <c r="I16" s="13">
        <f>-I12*Assumptions!$J$9</f>
        <v/>
      </c>
      <c r="J16" s="13">
        <f>-J12*Assumptions!$J$9</f>
        <v/>
      </c>
      <c r="K16" s="13">
        <f>-K12*Assumptions!$J$9</f>
        <v/>
      </c>
      <c r="L16" s="13">
        <f>-L12*Assumptions!$J$9</f>
        <v/>
      </c>
      <c r="M16" s="13">
        <f>-M12*Assumptions!$J$9</f>
        <v/>
      </c>
      <c r="N16" s="1" t="n"/>
    </row>
    <row r="17">
      <c r="A17" s="1" t="n"/>
      <c r="B17" s="22" t="inlineStr">
        <is>
          <t>NET RENTAL INCOME</t>
        </is>
      </c>
      <c r="C17" s="24">
        <f>C12+C14+C15+C16</f>
        <v/>
      </c>
      <c r="D17" s="24">
        <f>D12+D14+D15+D16</f>
        <v/>
      </c>
      <c r="E17" s="24">
        <f>E12+E14+E15+E16</f>
        <v/>
      </c>
      <c r="F17" s="24">
        <f>F12+F14+F15+F16</f>
        <v/>
      </c>
      <c r="G17" s="24">
        <f>G12+G14+G15+G16</f>
        <v/>
      </c>
      <c r="H17" s="24">
        <f>H12+H14+H15+H16</f>
        <v/>
      </c>
      <c r="I17" s="24">
        <f>I12+I14+I15+I16</f>
        <v/>
      </c>
      <c r="J17" s="24">
        <f>J12+J14+J15+J16</f>
        <v/>
      </c>
      <c r="K17" s="24">
        <f>K12+K14+K15+K16</f>
        <v/>
      </c>
      <c r="L17" s="24">
        <f>L12+L14+L15+L16</f>
        <v/>
      </c>
      <c r="M17" s="24">
        <f>M12+M14+M15+M16</f>
        <v/>
      </c>
      <c r="N17" s="1" t="n"/>
    </row>
    <row r="18">
      <c r="A18" s="1" t="n"/>
      <c r="B18" s="6" t="inlineStr">
        <is>
          <t>Utility Reimbursement</t>
        </is>
      </c>
      <c r="C18" s="13">
        <f>Assumptions!$K$14*(1+Assumptions!$E$50)^(1-1)</f>
        <v/>
      </c>
      <c r="D18" s="13">
        <f>Assumptions!$K$14*(1+Assumptions!$E$50)^(2-1)</f>
        <v/>
      </c>
      <c r="E18" s="13">
        <f>Assumptions!$K$14*(1+Assumptions!$E$50)^(3-1)</f>
        <v/>
      </c>
      <c r="F18" s="13">
        <f>Assumptions!$K$14*(1+Assumptions!$E$50)^(4-1)</f>
        <v/>
      </c>
      <c r="G18" s="13">
        <f>Assumptions!$K$14*(1+Assumptions!$E$50)^(5-1)</f>
        <v/>
      </c>
      <c r="H18" s="13">
        <f>Assumptions!$K$14*(1+Assumptions!$E$50)^(6-1)</f>
        <v/>
      </c>
      <c r="I18" s="13">
        <f>Assumptions!$K$14*(1+Assumptions!$E$50)^(7-1)</f>
        <v/>
      </c>
      <c r="J18" s="13">
        <f>Assumptions!$K$14*(1+Assumptions!$E$50)^(8-1)</f>
        <v/>
      </c>
      <c r="K18" s="13">
        <f>Assumptions!$K$14*(1+Assumptions!$E$50)^(9-1)</f>
        <v/>
      </c>
      <c r="L18" s="13">
        <f>Assumptions!$K$14*(1+Assumptions!$E$50)^(10-1)</f>
        <v/>
      </c>
      <c r="M18" s="13">
        <f>Assumptions!$K$14*(1+Assumptions!$E$50)^(11-1)</f>
        <v/>
      </c>
      <c r="N18" s="1" t="n"/>
    </row>
    <row r="19">
      <c r="A19" s="1" t="n"/>
      <c r="B19" s="6" t="inlineStr">
        <is>
          <t>Parking &amp; Carports</t>
        </is>
      </c>
      <c r="C19" s="13">
        <f>Assumptions!$K$15*(1+Assumptions!$E$50)^(1-1)</f>
        <v/>
      </c>
      <c r="D19" s="13">
        <f>Assumptions!$K$15*(1+Assumptions!$E$50)^(2-1)</f>
        <v/>
      </c>
      <c r="E19" s="13">
        <f>Assumptions!$K$15*(1+Assumptions!$E$50)^(3-1)</f>
        <v/>
      </c>
      <c r="F19" s="13">
        <f>Assumptions!$K$15*(1+Assumptions!$E$50)^(4-1)</f>
        <v/>
      </c>
      <c r="G19" s="13">
        <f>Assumptions!$K$15*(1+Assumptions!$E$50)^(5-1)</f>
        <v/>
      </c>
      <c r="H19" s="13">
        <f>Assumptions!$K$15*(1+Assumptions!$E$50)^(6-1)</f>
        <v/>
      </c>
      <c r="I19" s="13">
        <f>Assumptions!$K$15*(1+Assumptions!$E$50)^(7-1)</f>
        <v/>
      </c>
      <c r="J19" s="13">
        <f>Assumptions!$K$15*(1+Assumptions!$E$50)^(8-1)</f>
        <v/>
      </c>
      <c r="K19" s="13">
        <f>Assumptions!$K$15*(1+Assumptions!$E$50)^(9-1)</f>
        <v/>
      </c>
      <c r="L19" s="13">
        <f>Assumptions!$K$15*(1+Assumptions!$E$50)^(10-1)</f>
        <v/>
      </c>
      <c r="M19" s="13">
        <f>Assumptions!$K$15*(1+Assumptions!$E$50)^(11-1)</f>
        <v/>
      </c>
      <c r="N19" s="1" t="n"/>
    </row>
    <row r="20">
      <c r="A20" s="1" t="n"/>
      <c r="B20" s="6" t="inlineStr">
        <is>
          <t>Pet Rent &amp; Fees</t>
        </is>
      </c>
      <c r="C20" s="13">
        <f>Assumptions!$K$16*(1+Assumptions!$E$50)^(1-1)</f>
        <v/>
      </c>
      <c r="D20" s="13">
        <f>Assumptions!$K$16*(1+Assumptions!$E$50)^(2-1)</f>
        <v/>
      </c>
      <c r="E20" s="13">
        <f>Assumptions!$K$16*(1+Assumptions!$E$50)^(3-1)</f>
        <v/>
      </c>
      <c r="F20" s="13">
        <f>Assumptions!$K$16*(1+Assumptions!$E$50)^(4-1)</f>
        <v/>
      </c>
      <c r="G20" s="13">
        <f>Assumptions!$K$16*(1+Assumptions!$E$50)^(5-1)</f>
        <v/>
      </c>
      <c r="H20" s="13">
        <f>Assumptions!$K$16*(1+Assumptions!$E$50)^(6-1)</f>
        <v/>
      </c>
      <c r="I20" s="13">
        <f>Assumptions!$K$16*(1+Assumptions!$E$50)^(7-1)</f>
        <v/>
      </c>
      <c r="J20" s="13">
        <f>Assumptions!$K$16*(1+Assumptions!$E$50)^(8-1)</f>
        <v/>
      </c>
      <c r="K20" s="13">
        <f>Assumptions!$K$16*(1+Assumptions!$E$50)^(9-1)</f>
        <v/>
      </c>
      <c r="L20" s="13">
        <f>Assumptions!$K$16*(1+Assumptions!$E$50)^(10-1)</f>
        <v/>
      </c>
      <c r="M20" s="13">
        <f>Assumptions!$K$16*(1+Assumptions!$E$50)^(11-1)</f>
        <v/>
      </c>
      <c r="N20" s="1" t="n"/>
    </row>
    <row r="21">
      <c r="A21" s="1" t="n"/>
      <c r="B21" s="6" t="inlineStr">
        <is>
          <t>Fees &amp; Miscellaneous</t>
        </is>
      </c>
      <c r="C21" s="13">
        <f>Assumptions!$K$17*(1+Assumptions!$E$50)^(1-1)</f>
        <v/>
      </c>
      <c r="D21" s="13">
        <f>Assumptions!$K$17*(1+Assumptions!$E$50)^(2-1)</f>
        <v/>
      </c>
      <c r="E21" s="13">
        <f>Assumptions!$K$17*(1+Assumptions!$E$50)^(3-1)</f>
        <v/>
      </c>
      <c r="F21" s="13">
        <f>Assumptions!$K$17*(1+Assumptions!$E$50)^(4-1)</f>
        <v/>
      </c>
      <c r="G21" s="13">
        <f>Assumptions!$K$17*(1+Assumptions!$E$50)^(5-1)</f>
        <v/>
      </c>
      <c r="H21" s="13">
        <f>Assumptions!$K$17*(1+Assumptions!$E$50)^(6-1)</f>
        <v/>
      </c>
      <c r="I21" s="13">
        <f>Assumptions!$K$17*(1+Assumptions!$E$50)^(7-1)</f>
        <v/>
      </c>
      <c r="J21" s="13">
        <f>Assumptions!$K$17*(1+Assumptions!$E$50)^(8-1)</f>
        <v/>
      </c>
      <c r="K21" s="13">
        <f>Assumptions!$K$17*(1+Assumptions!$E$50)^(9-1)</f>
        <v/>
      </c>
      <c r="L21" s="13">
        <f>Assumptions!$K$17*(1+Assumptions!$E$50)^(10-1)</f>
        <v/>
      </c>
      <c r="M21" s="13">
        <f>Assumptions!$K$17*(1+Assumptions!$E$50)^(11-1)</f>
        <v/>
      </c>
      <c r="N21" s="1" t="n"/>
    </row>
    <row r="22">
      <c r="A22" s="1" t="n"/>
      <c r="B22" s="6" t="inlineStr">
        <is>
          <t>Total Other Income</t>
        </is>
      </c>
      <c r="C22" s="13">
        <f>SUM(C18:C21)</f>
        <v/>
      </c>
      <c r="D22" s="13">
        <f>SUM(D18:D21)</f>
        <v/>
      </c>
      <c r="E22" s="13">
        <f>SUM(E18:E21)</f>
        <v/>
      </c>
      <c r="F22" s="13">
        <f>SUM(F18:F21)</f>
        <v/>
      </c>
      <c r="G22" s="13">
        <f>SUM(G18:G21)</f>
        <v/>
      </c>
      <c r="H22" s="13">
        <f>SUM(H18:H21)</f>
        <v/>
      </c>
      <c r="I22" s="13">
        <f>SUM(I18:I21)</f>
        <v/>
      </c>
      <c r="J22" s="13">
        <f>SUM(J18:J21)</f>
        <v/>
      </c>
      <c r="K22" s="13">
        <f>SUM(K18:K21)</f>
        <v/>
      </c>
      <c r="L22" s="13">
        <f>SUM(L18:L21)</f>
        <v/>
      </c>
      <c r="M22" s="13">
        <f>SUM(M18:M21)</f>
        <v/>
      </c>
      <c r="N22" s="1" t="n"/>
    </row>
    <row r="23">
      <c r="A23" s="1" t="n"/>
      <c r="B23" s="22" t="inlineStr">
        <is>
          <t>EFFECTIVE GROSS INCOME</t>
        </is>
      </c>
      <c r="C23" s="24">
        <f>C17+C22</f>
        <v/>
      </c>
      <c r="D23" s="24">
        <f>D17+D22</f>
        <v/>
      </c>
      <c r="E23" s="24">
        <f>E17+E22</f>
        <v/>
      </c>
      <c r="F23" s="24">
        <f>F17+F22</f>
        <v/>
      </c>
      <c r="G23" s="24">
        <f>G17+G22</f>
        <v/>
      </c>
      <c r="H23" s="24">
        <f>H17+H22</f>
        <v/>
      </c>
      <c r="I23" s="24">
        <f>I17+I22</f>
        <v/>
      </c>
      <c r="J23" s="24">
        <f>J17+J22</f>
        <v/>
      </c>
      <c r="K23" s="24">
        <f>K17+K22</f>
        <v/>
      </c>
      <c r="L23" s="24">
        <f>L17+L22</f>
        <v/>
      </c>
      <c r="M23" s="24">
        <f>M17+M22</f>
        <v/>
      </c>
      <c r="N23" s="1" t="n"/>
    </row>
    <row r="24">
      <c r="A24" s="1" t="n"/>
      <c r="B24" s="1" t="n"/>
      <c r="C24" s="1" t="n"/>
      <c r="D24" s="1" t="n"/>
      <c r="E24" s="1" t="n"/>
      <c r="F24" s="1" t="n"/>
      <c r="G24" s="1" t="n"/>
      <c r="H24" s="1" t="n"/>
      <c r="I24" s="1" t="n"/>
      <c r="J24" s="1" t="n"/>
      <c r="K24" s="1" t="n"/>
      <c r="L24" s="1" t="n"/>
      <c r="M24" s="1" t="n"/>
      <c r="N24" s="1" t="n"/>
    </row>
    <row r="25">
      <c r="A25" s="1" t="n"/>
      <c r="B25" s="5" t="inlineStr">
        <is>
          <t>Operating Expenses</t>
        </is>
      </c>
      <c r="C25" s="5" t="n"/>
      <c r="D25" s="5" t="n"/>
      <c r="E25" s="5" t="n"/>
      <c r="F25" s="5" t="n"/>
      <c r="G25" s="5" t="n"/>
      <c r="H25" s="5" t="n"/>
      <c r="I25" s="5" t="n"/>
      <c r="J25" s="5" t="n"/>
      <c r="K25" s="5" t="n"/>
      <c r="L25" s="5" t="n"/>
      <c r="M25" s="5" t="n"/>
      <c r="N25" s="1" t="n"/>
    </row>
    <row r="26">
      <c r="A26" s="1" t="n"/>
      <c r="B26" s="6" t="inlineStr">
        <is>
          <t>Payroll &amp; Benefits</t>
        </is>
      </c>
      <c r="C26" s="13">
        <f>-Assumptions!$I$22*Assumptions!$E$12*(1+Assumptions!$E$51)^(1-1)</f>
        <v/>
      </c>
      <c r="D26" s="13">
        <f>-Assumptions!$I$22*Assumptions!$E$12*(1+Assumptions!$E$51)^(2-1)</f>
        <v/>
      </c>
      <c r="E26" s="13">
        <f>-Assumptions!$I$22*Assumptions!$E$12*(1+Assumptions!$E$51)^(3-1)</f>
        <v/>
      </c>
      <c r="F26" s="13">
        <f>-Assumptions!$I$22*Assumptions!$E$12*(1+Assumptions!$E$51)^(4-1)</f>
        <v/>
      </c>
      <c r="G26" s="13">
        <f>-Assumptions!$I$22*Assumptions!$E$12*(1+Assumptions!$E$51)^(5-1)</f>
        <v/>
      </c>
      <c r="H26" s="13">
        <f>-Assumptions!$I$22*Assumptions!$E$12*(1+Assumptions!$E$51)^(6-1)</f>
        <v/>
      </c>
      <c r="I26" s="13">
        <f>-Assumptions!$I$22*Assumptions!$E$12*(1+Assumptions!$E$51)^(7-1)</f>
        <v/>
      </c>
      <c r="J26" s="13">
        <f>-Assumptions!$I$22*Assumptions!$E$12*(1+Assumptions!$E$51)^(8-1)</f>
        <v/>
      </c>
      <c r="K26" s="13">
        <f>-Assumptions!$I$22*Assumptions!$E$12*(1+Assumptions!$E$51)^(9-1)</f>
        <v/>
      </c>
      <c r="L26" s="13">
        <f>-Assumptions!$I$22*Assumptions!$E$12*(1+Assumptions!$E$51)^(10-1)</f>
        <v/>
      </c>
      <c r="M26" s="13">
        <f>-Assumptions!$I$22*Assumptions!$E$12*(1+Assumptions!$E$51)^(11-1)</f>
        <v/>
      </c>
      <c r="N26" s="1" t="n"/>
    </row>
    <row r="27">
      <c r="A27" s="1" t="n"/>
      <c r="B27" s="6" t="inlineStr">
        <is>
          <t>Repairs, Maintenance &amp; Turnover</t>
        </is>
      </c>
      <c r="C27" s="13">
        <f>-Assumptions!$I$23*Assumptions!$E$12*(1+Assumptions!$E$51)^(1-1)</f>
        <v/>
      </c>
      <c r="D27" s="13">
        <f>-Assumptions!$I$23*Assumptions!$E$12*(1+Assumptions!$E$51)^(2-1)</f>
        <v/>
      </c>
      <c r="E27" s="13">
        <f>-Assumptions!$I$23*Assumptions!$E$12*(1+Assumptions!$E$51)^(3-1)</f>
        <v/>
      </c>
      <c r="F27" s="13">
        <f>-Assumptions!$I$23*Assumptions!$E$12*(1+Assumptions!$E$51)^(4-1)</f>
        <v/>
      </c>
      <c r="G27" s="13">
        <f>-Assumptions!$I$23*Assumptions!$E$12*(1+Assumptions!$E$51)^(5-1)</f>
        <v/>
      </c>
      <c r="H27" s="13">
        <f>-Assumptions!$I$23*Assumptions!$E$12*(1+Assumptions!$E$51)^(6-1)</f>
        <v/>
      </c>
      <c r="I27" s="13">
        <f>-Assumptions!$I$23*Assumptions!$E$12*(1+Assumptions!$E$51)^(7-1)</f>
        <v/>
      </c>
      <c r="J27" s="13">
        <f>-Assumptions!$I$23*Assumptions!$E$12*(1+Assumptions!$E$51)^(8-1)</f>
        <v/>
      </c>
      <c r="K27" s="13">
        <f>-Assumptions!$I$23*Assumptions!$E$12*(1+Assumptions!$E$51)^(9-1)</f>
        <v/>
      </c>
      <c r="L27" s="13">
        <f>-Assumptions!$I$23*Assumptions!$E$12*(1+Assumptions!$E$51)^(10-1)</f>
        <v/>
      </c>
      <c r="M27" s="13">
        <f>-Assumptions!$I$23*Assumptions!$E$12*(1+Assumptions!$E$51)^(11-1)</f>
        <v/>
      </c>
      <c r="N27" s="1" t="n"/>
    </row>
    <row r="28">
      <c r="A28" s="1" t="n"/>
      <c r="B28" s="6" t="inlineStr">
        <is>
          <t>Contract Services</t>
        </is>
      </c>
      <c r="C28" s="13">
        <f>-Assumptions!$I$24*Assumptions!$E$12*(1+Assumptions!$E$51)^(1-1)</f>
        <v/>
      </c>
      <c r="D28" s="13">
        <f>-Assumptions!$I$24*Assumptions!$E$12*(1+Assumptions!$E$51)^(2-1)</f>
        <v/>
      </c>
      <c r="E28" s="13">
        <f>-Assumptions!$I$24*Assumptions!$E$12*(1+Assumptions!$E$51)^(3-1)</f>
        <v/>
      </c>
      <c r="F28" s="13">
        <f>-Assumptions!$I$24*Assumptions!$E$12*(1+Assumptions!$E$51)^(4-1)</f>
        <v/>
      </c>
      <c r="G28" s="13">
        <f>-Assumptions!$I$24*Assumptions!$E$12*(1+Assumptions!$E$51)^(5-1)</f>
        <v/>
      </c>
      <c r="H28" s="13">
        <f>-Assumptions!$I$24*Assumptions!$E$12*(1+Assumptions!$E$51)^(6-1)</f>
        <v/>
      </c>
      <c r="I28" s="13">
        <f>-Assumptions!$I$24*Assumptions!$E$12*(1+Assumptions!$E$51)^(7-1)</f>
        <v/>
      </c>
      <c r="J28" s="13">
        <f>-Assumptions!$I$24*Assumptions!$E$12*(1+Assumptions!$E$51)^(8-1)</f>
        <v/>
      </c>
      <c r="K28" s="13">
        <f>-Assumptions!$I$24*Assumptions!$E$12*(1+Assumptions!$E$51)^(9-1)</f>
        <v/>
      </c>
      <c r="L28" s="13">
        <f>-Assumptions!$I$24*Assumptions!$E$12*(1+Assumptions!$E$51)^(10-1)</f>
        <v/>
      </c>
      <c r="M28" s="13">
        <f>-Assumptions!$I$24*Assumptions!$E$12*(1+Assumptions!$E$51)^(11-1)</f>
        <v/>
      </c>
      <c r="N28" s="1" t="n"/>
    </row>
    <row r="29">
      <c r="A29" s="1" t="n"/>
      <c r="B29" s="6" t="inlineStr">
        <is>
          <t>Utilities (Net of RUBS)</t>
        </is>
      </c>
      <c r="C29" s="13">
        <f>-Assumptions!$I$25*Assumptions!$E$12*(1+Assumptions!$E$51)^(1-1)</f>
        <v/>
      </c>
      <c r="D29" s="13">
        <f>-Assumptions!$I$25*Assumptions!$E$12*(1+Assumptions!$E$51)^(2-1)</f>
        <v/>
      </c>
      <c r="E29" s="13">
        <f>-Assumptions!$I$25*Assumptions!$E$12*(1+Assumptions!$E$51)^(3-1)</f>
        <v/>
      </c>
      <c r="F29" s="13">
        <f>-Assumptions!$I$25*Assumptions!$E$12*(1+Assumptions!$E$51)^(4-1)</f>
        <v/>
      </c>
      <c r="G29" s="13">
        <f>-Assumptions!$I$25*Assumptions!$E$12*(1+Assumptions!$E$51)^(5-1)</f>
        <v/>
      </c>
      <c r="H29" s="13">
        <f>-Assumptions!$I$25*Assumptions!$E$12*(1+Assumptions!$E$51)^(6-1)</f>
        <v/>
      </c>
      <c r="I29" s="13">
        <f>-Assumptions!$I$25*Assumptions!$E$12*(1+Assumptions!$E$51)^(7-1)</f>
        <v/>
      </c>
      <c r="J29" s="13">
        <f>-Assumptions!$I$25*Assumptions!$E$12*(1+Assumptions!$E$51)^(8-1)</f>
        <v/>
      </c>
      <c r="K29" s="13">
        <f>-Assumptions!$I$25*Assumptions!$E$12*(1+Assumptions!$E$51)^(9-1)</f>
        <v/>
      </c>
      <c r="L29" s="13">
        <f>-Assumptions!$I$25*Assumptions!$E$12*(1+Assumptions!$E$51)^(10-1)</f>
        <v/>
      </c>
      <c r="M29" s="13">
        <f>-Assumptions!$I$25*Assumptions!$E$12*(1+Assumptions!$E$51)^(11-1)</f>
        <v/>
      </c>
      <c r="N29" s="1" t="n"/>
    </row>
    <row r="30">
      <c r="A30" s="1" t="n"/>
      <c r="B30" s="6" t="inlineStr">
        <is>
          <t>Administrative &amp; Marketing</t>
        </is>
      </c>
      <c r="C30" s="13">
        <f>-Assumptions!$I$26*Assumptions!$E$12*(1+Assumptions!$E$51)^(1-1)</f>
        <v/>
      </c>
      <c r="D30" s="13">
        <f>-Assumptions!$I$26*Assumptions!$E$12*(1+Assumptions!$E$51)^(2-1)</f>
        <v/>
      </c>
      <c r="E30" s="13">
        <f>-Assumptions!$I$26*Assumptions!$E$12*(1+Assumptions!$E$51)^(3-1)</f>
        <v/>
      </c>
      <c r="F30" s="13">
        <f>-Assumptions!$I$26*Assumptions!$E$12*(1+Assumptions!$E$51)^(4-1)</f>
        <v/>
      </c>
      <c r="G30" s="13">
        <f>-Assumptions!$I$26*Assumptions!$E$12*(1+Assumptions!$E$51)^(5-1)</f>
        <v/>
      </c>
      <c r="H30" s="13">
        <f>-Assumptions!$I$26*Assumptions!$E$12*(1+Assumptions!$E$51)^(6-1)</f>
        <v/>
      </c>
      <c r="I30" s="13">
        <f>-Assumptions!$I$26*Assumptions!$E$12*(1+Assumptions!$E$51)^(7-1)</f>
        <v/>
      </c>
      <c r="J30" s="13">
        <f>-Assumptions!$I$26*Assumptions!$E$12*(1+Assumptions!$E$51)^(8-1)</f>
        <v/>
      </c>
      <c r="K30" s="13">
        <f>-Assumptions!$I$26*Assumptions!$E$12*(1+Assumptions!$E$51)^(9-1)</f>
        <v/>
      </c>
      <c r="L30" s="13">
        <f>-Assumptions!$I$26*Assumptions!$E$12*(1+Assumptions!$E$51)^(10-1)</f>
        <v/>
      </c>
      <c r="M30" s="13">
        <f>-Assumptions!$I$26*Assumptions!$E$12*(1+Assumptions!$E$51)^(11-1)</f>
        <v/>
      </c>
      <c r="N30" s="1" t="n"/>
    </row>
    <row r="31">
      <c r="A31" s="1" t="n"/>
      <c r="B31" s="6" t="inlineStr">
        <is>
          <t>Insurance</t>
        </is>
      </c>
      <c r="C31" s="13">
        <f>-Assumptions!$I$27*Assumptions!$E$12*(1+Assumptions!$E$51)^(1-1)</f>
        <v/>
      </c>
      <c r="D31" s="13">
        <f>-Assumptions!$I$27*Assumptions!$E$12*(1+Assumptions!$E$51)^(2-1)</f>
        <v/>
      </c>
      <c r="E31" s="13">
        <f>-Assumptions!$I$27*Assumptions!$E$12*(1+Assumptions!$E$51)^(3-1)</f>
        <v/>
      </c>
      <c r="F31" s="13">
        <f>-Assumptions!$I$27*Assumptions!$E$12*(1+Assumptions!$E$51)^(4-1)</f>
        <v/>
      </c>
      <c r="G31" s="13">
        <f>-Assumptions!$I$27*Assumptions!$E$12*(1+Assumptions!$E$51)^(5-1)</f>
        <v/>
      </c>
      <c r="H31" s="13">
        <f>-Assumptions!$I$27*Assumptions!$E$12*(1+Assumptions!$E$51)^(6-1)</f>
        <v/>
      </c>
      <c r="I31" s="13">
        <f>-Assumptions!$I$27*Assumptions!$E$12*(1+Assumptions!$E$51)^(7-1)</f>
        <v/>
      </c>
      <c r="J31" s="13">
        <f>-Assumptions!$I$27*Assumptions!$E$12*(1+Assumptions!$E$51)^(8-1)</f>
        <v/>
      </c>
      <c r="K31" s="13">
        <f>-Assumptions!$I$27*Assumptions!$E$12*(1+Assumptions!$E$51)^(9-1)</f>
        <v/>
      </c>
      <c r="L31" s="13">
        <f>-Assumptions!$I$27*Assumptions!$E$12*(1+Assumptions!$E$51)^(10-1)</f>
        <v/>
      </c>
      <c r="M31" s="13">
        <f>-Assumptions!$I$27*Assumptions!$E$12*(1+Assumptions!$E$51)^(11-1)</f>
        <v/>
      </c>
      <c r="N31" s="1" t="n"/>
    </row>
    <row r="32">
      <c r="A32" s="1" t="n"/>
      <c r="B32" s="6" t="inlineStr">
        <is>
          <t>Real Estate Taxes</t>
        </is>
      </c>
      <c r="C32" s="13">
        <f>-Assumptions!$E$45*(1+Assumptions!$E$46)^(1-1)</f>
        <v/>
      </c>
      <c r="D32" s="13">
        <f>-Assumptions!$E$45*(1+Assumptions!$E$46)^(2-1)</f>
        <v/>
      </c>
      <c r="E32" s="13">
        <f>-Assumptions!$E$45*(1+Assumptions!$E$46)^(3-1)</f>
        <v/>
      </c>
      <c r="F32" s="13">
        <f>-Assumptions!$E$45*(1+Assumptions!$E$46)^(4-1)</f>
        <v/>
      </c>
      <c r="G32" s="13">
        <f>-Assumptions!$E$45*(1+Assumptions!$E$46)^(5-1)</f>
        <v/>
      </c>
      <c r="H32" s="13">
        <f>-Assumptions!$E$45*(1+Assumptions!$E$46)^(6-1)</f>
        <v/>
      </c>
      <c r="I32" s="13">
        <f>-Assumptions!$E$45*(1+Assumptions!$E$46)^(7-1)</f>
        <v/>
      </c>
      <c r="J32" s="13">
        <f>-Assumptions!$E$45*(1+Assumptions!$E$46)^(8-1)</f>
        <v/>
      </c>
      <c r="K32" s="13">
        <f>-Assumptions!$E$45*(1+Assumptions!$E$46)^(9-1)</f>
        <v/>
      </c>
      <c r="L32" s="13">
        <f>-Assumptions!$E$45*(1+Assumptions!$E$46)^(10-1)</f>
        <v/>
      </c>
      <c r="M32" s="13">
        <f>-Assumptions!$E$45*(1+Assumptions!$E$46)^(11-1)</f>
        <v/>
      </c>
      <c r="N32" s="1" t="n"/>
    </row>
    <row r="33">
      <c r="A33" s="1" t="n"/>
      <c r="B33" s="6" t="inlineStr">
        <is>
          <t>Management Fee</t>
        </is>
      </c>
      <c r="C33" s="13">
        <f>-Assumptions!$I$29*C23</f>
        <v/>
      </c>
      <c r="D33" s="13">
        <f>-Assumptions!$I$29*D23</f>
        <v/>
      </c>
      <c r="E33" s="13">
        <f>-Assumptions!$I$29*E23</f>
        <v/>
      </c>
      <c r="F33" s="13">
        <f>-Assumptions!$I$29*F23</f>
        <v/>
      </c>
      <c r="G33" s="13">
        <f>-Assumptions!$I$29*G23</f>
        <v/>
      </c>
      <c r="H33" s="13">
        <f>-Assumptions!$I$29*H23</f>
        <v/>
      </c>
      <c r="I33" s="13">
        <f>-Assumptions!$I$29*I23</f>
        <v/>
      </c>
      <c r="J33" s="13">
        <f>-Assumptions!$I$29*J23</f>
        <v/>
      </c>
      <c r="K33" s="13">
        <f>-Assumptions!$I$29*K23</f>
        <v/>
      </c>
      <c r="L33" s="13">
        <f>-Assumptions!$I$29*L23</f>
        <v/>
      </c>
      <c r="M33" s="13">
        <f>-Assumptions!$I$29*M23</f>
        <v/>
      </c>
      <c r="N33" s="1" t="n"/>
    </row>
    <row r="34">
      <c r="A34" s="1" t="n"/>
      <c r="B34" s="22" t="inlineStr">
        <is>
          <t>TOTAL OPERATING EXPENSES</t>
        </is>
      </c>
      <c r="C34" s="24">
        <f>SUM(C26:C33)</f>
        <v/>
      </c>
      <c r="D34" s="24">
        <f>SUM(D26:D33)</f>
        <v/>
      </c>
      <c r="E34" s="24">
        <f>SUM(E26:E33)</f>
        <v/>
      </c>
      <c r="F34" s="24">
        <f>SUM(F26:F33)</f>
        <v/>
      </c>
      <c r="G34" s="24">
        <f>SUM(G26:G33)</f>
        <v/>
      </c>
      <c r="H34" s="24">
        <f>SUM(H26:H33)</f>
        <v/>
      </c>
      <c r="I34" s="24">
        <f>SUM(I26:I33)</f>
        <v/>
      </c>
      <c r="J34" s="24">
        <f>SUM(J26:J33)</f>
        <v/>
      </c>
      <c r="K34" s="24">
        <f>SUM(K26:K33)</f>
        <v/>
      </c>
      <c r="L34" s="24">
        <f>SUM(L26:L33)</f>
        <v/>
      </c>
      <c r="M34" s="24">
        <f>SUM(M26:M33)</f>
        <v/>
      </c>
      <c r="N34" s="1" t="n"/>
    </row>
    <row r="35">
      <c r="A35" s="1" t="n"/>
      <c r="B35" s="6" t="inlineStr">
        <is>
          <t>OpEx Ratio</t>
        </is>
      </c>
      <c r="C35" s="21">
        <f>-C34/C23</f>
        <v/>
      </c>
      <c r="D35" s="21">
        <f>-D34/D23</f>
        <v/>
      </c>
      <c r="E35" s="21">
        <f>-E34/E23</f>
        <v/>
      </c>
      <c r="F35" s="21">
        <f>-F34/F23</f>
        <v/>
      </c>
      <c r="G35" s="21">
        <f>-G34/G23</f>
        <v/>
      </c>
      <c r="H35" s="21">
        <f>-H34/H23</f>
        <v/>
      </c>
      <c r="I35" s="21">
        <f>-I34/I23</f>
        <v/>
      </c>
      <c r="J35" s="21">
        <f>-J34/J23</f>
        <v/>
      </c>
      <c r="K35" s="21">
        <f>-K34/K23</f>
        <v/>
      </c>
      <c r="L35" s="21">
        <f>-L34/L23</f>
        <v/>
      </c>
      <c r="M35" s="21">
        <f>-M34/M23</f>
        <v/>
      </c>
      <c r="N35" s="1" t="n"/>
    </row>
    <row r="36">
      <c r="A36" s="1" t="n"/>
      <c r="B36" s="22" t="inlineStr">
        <is>
          <t>NET OPERATING INCOME</t>
        </is>
      </c>
      <c r="C36" s="24">
        <f>C23+C34</f>
        <v/>
      </c>
      <c r="D36" s="24">
        <f>D23+D34</f>
        <v/>
      </c>
      <c r="E36" s="24">
        <f>E23+E34</f>
        <v/>
      </c>
      <c r="F36" s="24">
        <f>F23+F34</f>
        <v/>
      </c>
      <c r="G36" s="24">
        <f>G23+G34</f>
        <v/>
      </c>
      <c r="H36" s="24">
        <f>H23+H34</f>
        <v/>
      </c>
      <c r="I36" s="24">
        <f>I23+I34</f>
        <v/>
      </c>
      <c r="J36" s="24">
        <f>J23+J34</f>
        <v/>
      </c>
      <c r="K36" s="24">
        <f>K23+K34</f>
        <v/>
      </c>
      <c r="L36" s="24">
        <f>L23+L34</f>
        <v/>
      </c>
      <c r="M36" s="24">
        <f>M23+M34</f>
        <v/>
      </c>
      <c r="N36" s="1" t="n"/>
    </row>
    <row r="37">
      <c r="A37" s="1" t="n"/>
      <c r="B37" s="6" t="inlineStr">
        <is>
          <t>NOI Margin</t>
        </is>
      </c>
      <c r="C37" s="21">
        <f>C36/C23</f>
        <v/>
      </c>
      <c r="D37" s="21">
        <f>D36/D23</f>
        <v/>
      </c>
      <c r="E37" s="21">
        <f>E36/E23</f>
        <v/>
      </c>
      <c r="F37" s="21">
        <f>F36/F23</f>
        <v/>
      </c>
      <c r="G37" s="21">
        <f>G36/G23</f>
        <v/>
      </c>
      <c r="H37" s="21">
        <f>H36/H23</f>
        <v/>
      </c>
      <c r="I37" s="21">
        <f>I36/I23</f>
        <v/>
      </c>
      <c r="J37" s="21">
        <f>J36/J23</f>
        <v/>
      </c>
      <c r="K37" s="21">
        <f>K36/K23</f>
        <v/>
      </c>
      <c r="L37" s="21">
        <f>L36/L23</f>
        <v/>
      </c>
      <c r="M37" s="21">
        <f>M36/M23</f>
        <v/>
      </c>
      <c r="N37" s="1" t="n"/>
    </row>
    <row r="38">
      <c r="A38" s="1" t="n"/>
      <c r="B38" s="1" t="n"/>
      <c r="C38" s="1" t="n"/>
      <c r="D38" s="1" t="n"/>
      <c r="E38" s="1" t="n"/>
      <c r="F38" s="1" t="n"/>
      <c r="G38" s="1" t="n"/>
      <c r="H38" s="1" t="n"/>
      <c r="I38" s="1" t="n"/>
      <c r="J38" s="1" t="n"/>
      <c r="K38" s="1" t="n"/>
      <c r="L38" s="1" t="n"/>
      <c r="M38" s="1" t="n"/>
      <c r="N38" s="1" t="n"/>
    </row>
    <row r="39">
      <c r="A39" s="1" t="n"/>
      <c r="B39" s="5" t="inlineStr">
        <is>
          <t>Below The Line</t>
        </is>
      </c>
      <c r="C39" s="5" t="n"/>
      <c r="D39" s="5" t="n"/>
      <c r="E39" s="5" t="n"/>
      <c r="F39" s="5" t="n"/>
      <c r="G39" s="5" t="n"/>
      <c r="H39" s="5" t="n"/>
      <c r="I39" s="5" t="n"/>
      <c r="J39" s="5" t="n"/>
      <c r="K39" s="5" t="n"/>
      <c r="L39" s="5" t="n"/>
      <c r="M39" s="5" t="n"/>
      <c r="N39" s="1" t="n"/>
    </row>
    <row r="40">
      <c r="A40" s="1" t="n"/>
      <c r="B40" s="6" t="inlineStr">
        <is>
          <t>Replacement Reserves, $300 /Unit</t>
        </is>
      </c>
      <c r="C40" s="13">
        <f>-300*Assumptions!$E$12</f>
        <v/>
      </c>
      <c r="D40" s="13">
        <f>-300*Assumptions!$E$12</f>
        <v/>
      </c>
      <c r="E40" s="13">
        <f>-300*Assumptions!$E$12</f>
        <v/>
      </c>
      <c r="F40" s="13">
        <f>-300*Assumptions!$E$12</f>
        <v/>
      </c>
      <c r="G40" s="13">
        <f>-300*Assumptions!$E$12</f>
        <v/>
      </c>
      <c r="H40" s="13">
        <f>-300*Assumptions!$E$12</f>
        <v/>
      </c>
      <c r="I40" s="13">
        <f>-300*Assumptions!$E$12</f>
        <v/>
      </c>
      <c r="J40" s="13">
        <f>-300*Assumptions!$E$12</f>
        <v/>
      </c>
      <c r="K40" s="13">
        <f>-300*Assumptions!$E$12</f>
        <v/>
      </c>
      <c r="L40" s="13">
        <f>-300*Assumptions!$E$12</f>
        <v/>
      </c>
      <c r="M40" s="13">
        <f>-300*Assumptions!$E$12</f>
        <v/>
      </c>
      <c r="N40" s="1" t="n"/>
    </row>
    <row r="41">
      <c r="A41" s="1" t="n"/>
      <c r="B41" s="6" t="inlineStr">
        <is>
          <t>Asset Management Fee, 0.25% of EGI</t>
        </is>
      </c>
      <c r="C41" s="13">
        <f>-0.0025*C23</f>
        <v/>
      </c>
      <c r="D41" s="13">
        <f>-0.0025*D23</f>
        <v/>
      </c>
      <c r="E41" s="13">
        <f>-0.0025*E23</f>
        <v/>
      </c>
      <c r="F41" s="13">
        <f>-0.0025*F23</f>
        <v/>
      </c>
      <c r="G41" s="13">
        <f>-0.0025*G23</f>
        <v/>
      </c>
      <c r="H41" s="13">
        <f>-0.0025*H23</f>
        <v/>
      </c>
      <c r="I41" s="13">
        <f>-0.0025*I23</f>
        <v/>
      </c>
      <c r="J41" s="13">
        <f>-0.0025*J23</f>
        <v/>
      </c>
      <c r="K41" s="13">
        <f>-0.0025*K23</f>
        <v/>
      </c>
      <c r="L41" s="13">
        <f>-0.0025*L23</f>
        <v/>
      </c>
      <c r="M41" s="13">
        <f>-0.0025*M23</f>
        <v/>
      </c>
      <c r="N41" s="1" t="n"/>
    </row>
    <row r="42">
      <c r="A42" s="1" t="n"/>
      <c r="B42" s="22" t="inlineStr">
        <is>
          <t>CASH FLOW BEFORE DEBT</t>
        </is>
      </c>
      <c r="C42" s="24">
        <f>C36+C40+C41</f>
        <v/>
      </c>
      <c r="D42" s="24">
        <f>D36+D40+D41</f>
        <v/>
      </c>
      <c r="E42" s="24">
        <f>E36+E40+E41</f>
        <v/>
      </c>
      <c r="F42" s="24">
        <f>F36+F40+F41</f>
        <v/>
      </c>
      <c r="G42" s="24">
        <f>G36+G40+G41</f>
        <v/>
      </c>
      <c r="H42" s="24">
        <f>H36+H40+H41</f>
        <v/>
      </c>
      <c r="I42" s="24">
        <f>I36+I40+I41</f>
        <v/>
      </c>
      <c r="J42" s="24">
        <f>J36+J40+J41</f>
        <v/>
      </c>
      <c r="K42" s="24">
        <f>K36+K40+K41</f>
        <v/>
      </c>
      <c r="L42" s="24">
        <f>L36+L40+L41</f>
        <v/>
      </c>
      <c r="M42" s="24">
        <f>M36+M40+M41</f>
        <v/>
      </c>
      <c r="N42" s="1" t="n"/>
    </row>
    <row r="43">
      <c r="A43" s="1" t="n"/>
      <c r="B43" s="1" t="n"/>
      <c r="C43" s="1" t="n"/>
      <c r="D43" s="1" t="n"/>
      <c r="E43" s="1" t="n"/>
      <c r="F43" s="1" t="n"/>
      <c r="G43" s="1" t="n"/>
      <c r="H43" s="1" t="n"/>
      <c r="I43" s="1" t="n"/>
      <c r="J43" s="1" t="n"/>
      <c r="K43" s="1" t="n"/>
      <c r="L43" s="1" t="n"/>
      <c r="M43" s="1" t="n"/>
      <c r="N43" s="1" t="n"/>
    </row>
    <row r="44">
      <c r="A44" s="1" t="n"/>
      <c r="B44" s="5" t="inlineStr">
        <is>
          <t>Senior Financing</t>
        </is>
      </c>
      <c r="C44" s="5" t="n"/>
      <c r="D44" s="5" t="n"/>
      <c r="E44" s="5" t="n"/>
      <c r="F44" s="5" t="n"/>
      <c r="G44" s="5" t="n"/>
      <c r="H44" s="5" t="n"/>
      <c r="I44" s="5" t="n"/>
      <c r="J44" s="5" t="n"/>
      <c r="K44" s="5" t="n"/>
      <c r="L44" s="5" t="n"/>
      <c r="M44" s="5" t="n"/>
      <c r="N44" s="1" t="n"/>
    </row>
    <row r="45">
      <c r="A45" s="1" t="n"/>
      <c r="B45" s="40" t="inlineStr"/>
      <c r="C45" s="41" t="n">
        <v>1</v>
      </c>
      <c r="D45" s="41" t="n">
        <v>2</v>
      </c>
      <c r="E45" s="41" t="n">
        <v>3</v>
      </c>
      <c r="F45" s="41" t="n">
        <v>4</v>
      </c>
      <c r="G45" s="41" t="n">
        <v>5</v>
      </c>
      <c r="H45" s="41" t="n">
        <v>6</v>
      </c>
      <c r="I45" s="41" t="n">
        <v>7</v>
      </c>
      <c r="J45" s="41" t="n">
        <v>8</v>
      </c>
      <c r="K45" s="41" t="n">
        <v>9</v>
      </c>
      <c r="L45" s="41" t="n">
        <v>10</v>
      </c>
      <c r="M45" s="43" t="n"/>
      <c r="N45" s="1" t="n"/>
    </row>
    <row r="46">
      <c r="A46" s="1" t="n"/>
      <c r="B46" s="6" t="inlineStr">
        <is>
          <t>Interest Expense</t>
        </is>
      </c>
      <c r="C46" s="13">
        <f>-Assumptions!$J$51*Assumptions!$J$50</f>
        <v/>
      </c>
      <c r="D46" s="13">
        <f>-Assumptions!$J$51*Assumptions!$J$50</f>
        <v/>
      </c>
      <c r="E46" s="13">
        <f>CUMIPMT(Assumptions!$J$50/12,Assumptions!$J$47,Assumptions!$J$51,1,12,0)</f>
        <v/>
      </c>
      <c r="F46" s="13">
        <f>CUMIPMT(Assumptions!$J$50/12,Assumptions!$J$47,Assumptions!$J$51,13,24,0)</f>
        <v/>
      </c>
      <c r="G46" s="13">
        <f>CUMIPMT(Assumptions!$J$50/12,Assumptions!$J$47,Assumptions!$J$51,25,36,0)</f>
        <v/>
      </c>
      <c r="H46" s="13">
        <f>CUMIPMT(Assumptions!$J$50/12,Assumptions!$J$47,Assumptions!$J$51,37,48,0)</f>
        <v/>
      </c>
      <c r="I46" s="13">
        <f>CUMIPMT(Assumptions!$J$50/12,Assumptions!$J$47,Assumptions!$J$51,49,60,0)</f>
        <v/>
      </c>
      <c r="J46" s="13">
        <f>CUMIPMT(Assumptions!$J$50/12,Assumptions!$J$47,Assumptions!$J$51,61,72,0)</f>
        <v/>
      </c>
      <c r="K46" s="13">
        <f>CUMIPMT(Assumptions!$J$50/12,Assumptions!$J$47,Assumptions!$J$51,73,84,0)</f>
        <v/>
      </c>
      <c r="L46" s="13">
        <f>CUMIPMT(Assumptions!$J$50/12,Assumptions!$J$47,Assumptions!$J$51,85,96,0)</f>
        <v/>
      </c>
      <c r="M46" s="1" t="n"/>
      <c r="N46" s="1" t="n"/>
    </row>
    <row r="47">
      <c r="A47" s="1" t="n"/>
      <c r="B47" s="6" t="inlineStr">
        <is>
          <t>Scheduled Amortization</t>
        </is>
      </c>
      <c r="C47" s="13" t="n">
        <v>0</v>
      </c>
      <c r="D47" s="13" t="n">
        <v>0</v>
      </c>
      <c r="E47" s="13">
        <f>CUMPRINC(Assumptions!$J$50/12,Assumptions!$J$47,Assumptions!$J$51,1,12,0)</f>
        <v/>
      </c>
      <c r="F47" s="13">
        <f>CUMPRINC(Assumptions!$J$50/12,Assumptions!$J$47,Assumptions!$J$51,13,24,0)</f>
        <v/>
      </c>
      <c r="G47" s="13">
        <f>CUMPRINC(Assumptions!$J$50/12,Assumptions!$J$47,Assumptions!$J$51,25,36,0)</f>
        <v/>
      </c>
      <c r="H47" s="13">
        <f>CUMPRINC(Assumptions!$J$50/12,Assumptions!$J$47,Assumptions!$J$51,37,48,0)</f>
        <v/>
      </c>
      <c r="I47" s="13">
        <f>CUMPRINC(Assumptions!$J$50/12,Assumptions!$J$47,Assumptions!$J$51,49,60,0)</f>
        <v/>
      </c>
      <c r="J47" s="13">
        <f>CUMPRINC(Assumptions!$J$50/12,Assumptions!$J$47,Assumptions!$J$51,61,72,0)</f>
        <v/>
      </c>
      <c r="K47" s="13">
        <f>CUMPRINC(Assumptions!$J$50/12,Assumptions!$J$47,Assumptions!$J$51,73,84,0)</f>
        <v/>
      </c>
      <c r="L47" s="13">
        <f>CUMPRINC(Assumptions!$J$50/12,Assumptions!$J$47,Assumptions!$J$51,85,96,0)</f>
        <v/>
      </c>
      <c r="M47" s="1" t="n"/>
      <c r="N47" s="1" t="n"/>
    </row>
    <row r="48">
      <c r="A48" s="1" t="n"/>
      <c r="B48" s="22" t="inlineStr">
        <is>
          <t>TOTAL DEBT SERVICE</t>
        </is>
      </c>
      <c r="C48" s="24">
        <f>C46+C47</f>
        <v/>
      </c>
      <c r="D48" s="24">
        <f>D46+D47</f>
        <v/>
      </c>
      <c r="E48" s="24">
        <f>E46+E47</f>
        <v/>
      </c>
      <c r="F48" s="24">
        <f>F46+F47</f>
        <v/>
      </c>
      <c r="G48" s="24">
        <f>G46+G47</f>
        <v/>
      </c>
      <c r="H48" s="24">
        <f>H46+H47</f>
        <v/>
      </c>
      <c r="I48" s="24">
        <f>I46+I47</f>
        <v/>
      </c>
      <c r="J48" s="24">
        <f>J46+J47</f>
        <v/>
      </c>
      <c r="K48" s="24">
        <f>K46+K47</f>
        <v/>
      </c>
      <c r="L48" s="24">
        <f>L46+L47</f>
        <v/>
      </c>
      <c r="M48" s="29" t="n"/>
      <c r="N48" s="1" t="n"/>
    </row>
    <row r="49">
      <c r="A49" s="1" t="n"/>
      <c r="B49" s="6" t="inlineStr">
        <is>
          <t>DSCR</t>
        </is>
      </c>
      <c r="C49" s="20">
        <f>-C36/C48</f>
        <v/>
      </c>
      <c r="D49" s="20">
        <f>-D36/D48</f>
        <v/>
      </c>
      <c r="E49" s="20">
        <f>-E36/E48</f>
        <v/>
      </c>
      <c r="F49" s="20">
        <f>-F36/F48</f>
        <v/>
      </c>
      <c r="G49" s="20">
        <f>-G36/G48</f>
        <v/>
      </c>
      <c r="H49" s="20">
        <f>-H36/H48</f>
        <v/>
      </c>
      <c r="I49" s="20">
        <f>-I36/I48</f>
        <v/>
      </c>
      <c r="J49" s="20">
        <f>-J36/J48</f>
        <v/>
      </c>
      <c r="K49" s="20">
        <f>-K36/K48</f>
        <v/>
      </c>
      <c r="L49" s="20">
        <f>-L36/L48</f>
        <v/>
      </c>
      <c r="M49" s="1" t="n"/>
      <c r="N49" s="1" t="n"/>
    </row>
    <row r="50">
      <c r="A50" s="1" t="n"/>
      <c r="B50" s="6" t="inlineStr">
        <is>
          <t>Debt Yield</t>
        </is>
      </c>
      <c r="C50" s="21">
        <f>C36/Assumptions!$J$51</f>
        <v/>
      </c>
      <c r="D50" s="21">
        <f>D36/Assumptions!$J$51</f>
        <v/>
      </c>
      <c r="E50" s="21">
        <f>E36/Assumptions!$J$51</f>
        <v/>
      </c>
      <c r="F50" s="21">
        <f>F36/Assumptions!$J$51</f>
        <v/>
      </c>
      <c r="G50" s="21">
        <f>G36/Assumptions!$J$51</f>
        <v/>
      </c>
      <c r="H50" s="21">
        <f>H36/Assumptions!$J$51</f>
        <v/>
      </c>
      <c r="I50" s="21">
        <f>I36/Assumptions!$J$51</f>
        <v/>
      </c>
      <c r="J50" s="21">
        <f>J36/Assumptions!$J$51</f>
        <v/>
      </c>
      <c r="K50" s="21">
        <f>K36/Assumptions!$J$51</f>
        <v/>
      </c>
      <c r="L50" s="21">
        <f>L36/Assumptions!$J$51</f>
        <v/>
      </c>
      <c r="M50" s="1" t="n"/>
      <c r="N50" s="1" t="n"/>
    </row>
    <row r="51">
      <c r="A51" s="1" t="n"/>
      <c r="B51" s="6" t="inlineStr">
        <is>
          <t>Loan Balance, End of Year</t>
        </is>
      </c>
      <c r="C51" s="13">
        <f>Assumptions!$J$51</f>
        <v/>
      </c>
      <c r="D51" s="13">
        <f>Assumptions!$J$51</f>
        <v/>
      </c>
      <c r="E51" s="13">
        <f>Assumptions!$J$51+CUMPRINC(Assumptions!$J$50/12,Assumptions!$J$47,Assumptions!$J$51,1,12,0)</f>
        <v/>
      </c>
      <c r="F51" s="13">
        <f>Assumptions!$J$51+CUMPRINC(Assumptions!$J$50/12,Assumptions!$J$47,Assumptions!$J$51,1,24,0)</f>
        <v/>
      </c>
      <c r="G51" s="13">
        <f>Assumptions!$J$51+CUMPRINC(Assumptions!$J$50/12,Assumptions!$J$47,Assumptions!$J$51,1,36,0)</f>
        <v/>
      </c>
      <c r="H51" s="13">
        <f>Assumptions!$J$51+CUMPRINC(Assumptions!$J$50/12,Assumptions!$J$47,Assumptions!$J$51,1,48,0)</f>
        <v/>
      </c>
      <c r="I51" s="13">
        <f>Assumptions!$J$51+CUMPRINC(Assumptions!$J$50/12,Assumptions!$J$47,Assumptions!$J$51,1,60,0)</f>
        <v/>
      </c>
      <c r="J51" s="13">
        <f>Assumptions!$J$51+CUMPRINC(Assumptions!$J$50/12,Assumptions!$J$47,Assumptions!$J$51,1,72,0)</f>
        <v/>
      </c>
      <c r="K51" s="13">
        <f>Assumptions!$J$51+CUMPRINC(Assumptions!$J$50/12,Assumptions!$J$47,Assumptions!$J$51,1,84,0)</f>
        <v/>
      </c>
      <c r="L51" s="13">
        <f>Assumptions!$J$51+CUMPRINC(Assumptions!$J$50/12,Assumptions!$J$47,Assumptions!$J$51,1,96,0)</f>
        <v/>
      </c>
      <c r="M51" s="1" t="n"/>
      <c r="N51" s="1" t="n"/>
    </row>
    <row r="52">
      <c r="A52" s="1" t="n"/>
      <c r="B52" s="1" t="n"/>
      <c r="C52" s="1" t="n"/>
      <c r="D52" s="1" t="n"/>
      <c r="E52" s="1" t="n"/>
      <c r="F52" s="1" t="n"/>
      <c r="G52" s="1" t="n"/>
      <c r="H52" s="1" t="n"/>
      <c r="I52" s="1" t="n"/>
      <c r="J52" s="1" t="n"/>
      <c r="K52" s="1" t="n"/>
      <c r="L52" s="1" t="n"/>
      <c r="M52" s="1" t="n"/>
      <c r="N52" s="1" t="n"/>
    </row>
    <row r="53">
      <c r="A53" s="1" t="n"/>
      <c r="B53" s="5" t="inlineStr">
        <is>
          <t>Exit, Priced Off the Year After the Hold</t>
        </is>
      </c>
      <c r="C53" s="5" t="n"/>
      <c r="D53" s="5" t="n"/>
      <c r="E53" s="5" t="n"/>
      <c r="F53" s="5" t="n"/>
      <c r="G53" s="5" t="n"/>
      <c r="H53" s="5" t="n"/>
      <c r="I53" s="5" t="n"/>
      <c r="J53" s="5" t="n"/>
      <c r="K53" s="5" t="n"/>
      <c r="L53" s="5" t="n"/>
      <c r="M53" s="5" t="n"/>
      <c r="N53" s="1" t="n"/>
    </row>
    <row r="54">
      <c r="A54" s="1" t="n"/>
      <c r="B54" s="6" t="inlineStr">
        <is>
          <t>Hold, Years</t>
        </is>
      </c>
      <c r="C54" s="18">
        <f>Assumptions!$C$23</f>
        <v/>
      </c>
      <c r="D54" s="1" t="n"/>
      <c r="E54" s="1" t="n"/>
      <c r="F54" s="1" t="n"/>
      <c r="G54" s="1" t="n"/>
      <c r="H54" s="1" t="n"/>
      <c r="I54" s="1" t="n"/>
      <c r="J54" s="1" t="n"/>
      <c r="K54" s="1" t="n"/>
      <c r="L54" s="1" t="n"/>
      <c r="M54" s="1" t="n"/>
      <c r="N54" s="1" t="n"/>
    </row>
    <row r="55">
      <c r="A55" s="1" t="n"/>
      <c r="B55" s="6" t="inlineStr">
        <is>
          <t>Forward 12-Mo. NOI</t>
        </is>
      </c>
      <c r="C55" s="13">
        <f>INDEX($C$36:$M$36,Assumptions!$C$23+1)</f>
        <v/>
      </c>
      <c r="D55" s="1" t="n"/>
      <c r="E55" s="1" t="n"/>
      <c r="F55" s="1" t="n"/>
      <c r="G55" s="1" t="n"/>
      <c r="H55" s="1" t="n"/>
      <c r="I55" s="1" t="n"/>
      <c r="J55" s="1" t="n"/>
      <c r="K55" s="1" t="n"/>
      <c r="L55" s="1" t="n"/>
      <c r="M55" s="1" t="n"/>
      <c r="N55" s="1" t="n"/>
    </row>
    <row r="56">
      <c r="A56" s="1" t="n"/>
      <c r="B56" s="6" t="inlineStr">
        <is>
          <t>Exit Cap Rate</t>
        </is>
      </c>
      <c r="C56" s="17">
        <f>Assumptions!$I$37</f>
        <v/>
      </c>
      <c r="D56" s="1" t="n"/>
      <c r="E56" s="1" t="n"/>
      <c r="F56" s="1" t="n"/>
      <c r="G56" s="1" t="n"/>
      <c r="H56" s="1" t="n"/>
      <c r="I56" s="1" t="n"/>
      <c r="J56" s="1" t="n"/>
      <c r="K56" s="1" t="n"/>
      <c r="L56" s="1" t="n"/>
      <c r="M56" s="1" t="n"/>
      <c r="N56" s="1" t="n"/>
    </row>
    <row r="57">
      <c r="A57" s="1" t="n"/>
      <c r="B57" s="6" t="inlineStr">
        <is>
          <t>Gross Sale Value</t>
        </is>
      </c>
      <c r="C57" s="13">
        <f>C55/Assumptions!$I$37</f>
        <v/>
      </c>
      <c r="D57" s="1" t="n"/>
      <c r="E57" s="1" t="n"/>
      <c r="F57" s="1" t="n"/>
      <c r="G57" s="1" t="n"/>
      <c r="H57" s="1" t="n"/>
      <c r="I57" s="1" t="n"/>
      <c r="J57" s="1" t="n"/>
      <c r="K57" s="1" t="n"/>
      <c r="L57" s="1" t="n"/>
      <c r="M57" s="1" t="n"/>
      <c r="N57" s="1" t="n"/>
    </row>
    <row r="58">
      <c r="A58" s="1" t="n"/>
      <c r="B58" s="6" t="inlineStr">
        <is>
          <t>(Less): Sales Cost</t>
        </is>
      </c>
      <c r="C58" s="13">
        <f>-C57*Assumptions!$I$38</f>
        <v/>
      </c>
      <c r="D58" s="1" t="n"/>
      <c r="E58" s="1" t="n"/>
      <c r="F58" s="1" t="n"/>
      <c r="G58" s="1" t="n"/>
      <c r="H58" s="1" t="n"/>
      <c r="I58" s="1" t="n"/>
      <c r="J58" s="1" t="n"/>
      <c r="K58" s="1" t="n"/>
      <c r="L58" s="1" t="n"/>
      <c r="M58" s="1" t="n"/>
      <c r="N58" s="1" t="n"/>
    </row>
    <row r="59">
      <c r="A59" s="1" t="n"/>
      <c r="B59" s="6" t="inlineStr">
        <is>
          <t>(Less): Loan Payoff</t>
        </is>
      </c>
      <c r="C59" s="13">
        <f>-INDEX($C$51:$L$51,Assumptions!$C$23)</f>
        <v/>
      </c>
      <c r="D59" s="1" t="n"/>
      <c r="E59" s="1" t="n"/>
      <c r="F59" s="1" t="n"/>
      <c r="G59" s="1" t="n"/>
      <c r="H59" s="1" t="n"/>
      <c r="I59" s="1" t="n"/>
      <c r="J59" s="1" t="n"/>
      <c r="K59" s="1" t="n"/>
      <c r="L59" s="1" t="n"/>
      <c r="M59" s="1" t="n"/>
      <c r="N59" s="1" t="n"/>
    </row>
    <row r="60">
      <c r="A60" s="1" t="n"/>
      <c r="B60" s="22" t="inlineStr">
        <is>
          <t>REVERSION TO EQUITY</t>
        </is>
      </c>
      <c r="C60" s="24">
        <f>C57+C58+C59</f>
        <v/>
      </c>
      <c r="D60" s="29" t="n"/>
      <c r="E60" s="29" t="n"/>
      <c r="F60" s="29" t="n"/>
      <c r="G60" s="29" t="n"/>
      <c r="H60" s="29" t="n"/>
      <c r="I60" s="29" t="n"/>
      <c r="J60" s="29" t="n"/>
      <c r="K60" s="29" t="n"/>
      <c r="L60" s="29" t="n"/>
      <c r="M60" s="29" t="n"/>
      <c r="N60" s="1" t="n"/>
    </row>
    <row r="61">
      <c r="A61" s="1" t="n"/>
      <c r="B61" s="1" t="n"/>
      <c r="C61" s="1" t="n"/>
      <c r="D61" s="1" t="n"/>
      <c r="E61" s="1" t="n"/>
      <c r="F61" s="1" t="n"/>
      <c r="G61" s="1" t="n"/>
      <c r="H61" s="1" t="n"/>
      <c r="I61" s="1" t="n"/>
      <c r="J61" s="1" t="n"/>
      <c r="K61" s="1" t="n"/>
      <c r="L61" s="1" t="n"/>
      <c r="M61" s="1" t="n"/>
      <c r="N61" s="1" t="n"/>
    </row>
    <row r="62">
      <c r="A62" s="1" t="n"/>
      <c r="B62" s="5" t="inlineStr">
        <is>
          <t>Levered Cash Flow</t>
        </is>
      </c>
      <c r="C62" s="5" t="n"/>
      <c r="D62" s="5" t="n"/>
      <c r="E62" s="5" t="n"/>
      <c r="F62" s="5" t="n"/>
      <c r="G62" s="5" t="n"/>
      <c r="H62" s="5" t="n"/>
      <c r="I62" s="5" t="n"/>
      <c r="J62" s="5" t="n"/>
      <c r="K62" s="5" t="n"/>
      <c r="L62" s="5" t="n"/>
      <c r="M62" s="5" t="n"/>
      <c r="N62" s="1" t="n"/>
    </row>
    <row r="63">
      <c r="A63" s="1" t="n"/>
      <c r="B63" s="40" t="inlineStr"/>
      <c r="C63" s="44" t="inlineStr">
        <is>
          <t>CLOSE</t>
        </is>
      </c>
      <c r="D63" s="44" t="inlineStr">
        <is>
          <t>YEAR-1</t>
        </is>
      </c>
      <c r="E63" s="44" t="inlineStr">
        <is>
          <t>YEAR-2</t>
        </is>
      </c>
      <c r="F63" s="44" t="inlineStr">
        <is>
          <t>YEAR-3</t>
        </is>
      </c>
      <c r="G63" s="44" t="inlineStr">
        <is>
          <t>YEAR-4</t>
        </is>
      </c>
      <c r="H63" s="44" t="inlineStr">
        <is>
          <t>YEAR-5</t>
        </is>
      </c>
      <c r="I63" s="44" t="inlineStr">
        <is>
          <t>YEAR-6</t>
        </is>
      </c>
      <c r="J63" s="44" t="inlineStr">
        <is>
          <t>YEAR-7</t>
        </is>
      </c>
      <c r="K63" s="44" t="inlineStr">
        <is>
          <t>YEAR-8</t>
        </is>
      </c>
      <c r="L63" s="44" t="inlineStr">
        <is>
          <t>YEAR-9</t>
        </is>
      </c>
      <c r="M63" s="44" t="inlineStr">
        <is>
          <t>YEAR-10</t>
        </is>
      </c>
      <c r="N63" s="1" t="n"/>
    </row>
    <row r="64">
      <c r="A64" s="1" t="n"/>
      <c r="B64" s="22" t="inlineStr">
        <is>
          <t>CASH FLOW TO EQUITY</t>
        </is>
      </c>
      <c r="C64" s="24">
        <f>-Assumptions!$E$39</f>
        <v/>
      </c>
      <c r="D64" s="24">
        <f>IF(1&lt;=Assumptions!$C$23,C42+C48+IF(1=Assumptions!$C$23,$C$60,0),0)</f>
        <v/>
      </c>
      <c r="E64" s="24">
        <f>IF(2&lt;=Assumptions!$C$23,D42+D48+IF(2=Assumptions!$C$23,$C$60,0),0)</f>
        <v/>
      </c>
      <c r="F64" s="24">
        <f>IF(3&lt;=Assumptions!$C$23,E42+E48+IF(3=Assumptions!$C$23,$C$60,0),0)</f>
        <v/>
      </c>
      <c r="G64" s="24">
        <f>IF(4&lt;=Assumptions!$C$23,F42+F48+IF(4=Assumptions!$C$23,$C$60,0),0)</f>
        <v/>
      </c>
      <c r="H64" s="24">
        <f>IF(5&lt;=Assumptions!$C$23,G42+G48+IF(5=Assumptions!$C$23,$C$60,0),0)</f>
        <v/>
      </c>
      <c r="I64" s="24">
        <f>IF(6&lt;=Assumptions!$C$23,H42+H48+IF(6=Assumptions!$C$23,$C$60,0),0)</f>
        <v/>
      </c>
      <c r="J64" s="24">
        <f>IF(7&lt;=Assumptions!$C$23,I42+I48+IF(7=Assumptions!$C$23,$C$60,0),0)</f>
        <v/>
      </c>
      <c r="K64" s="24">
        <f>IF(8&lt;=Assumptions!$C$23,J42+J48+IF(8=Assumptions!$C$23,$C$60,0),0)</f>
        <v/>
      </c>
      <c r="L64" s="24">
        <f>IF(9&lt;=Assumptions!$C$23,K42+K48+IF(9=Assumptions!$C$23,$C$60,0),0)</f>
        <v/>
      </c>
      <c r="M64" s="24">
        <f>IF(10&lt;=Assumptions!$C$23,L42+L48+IF(10=Assumptions!$C$23,$C$60,0),0)</f>
        <v/>
      </c>
      <c r="N64" s="1" t="n"/>
    </row>
    <row r="65">
      <c r="A65" s="1" t="n"/>
      <c r="B65" s="6" t="inlineStr">
        <is>
          <t>Cumulative</t>
        </is>
      </c>
      <c r="C65" s="13">
        <f>C64</f>
        <v/>
      </c>
      <c r="D65" s="13">
        <f>C65+D64</f>
        <v/>
      </c>
      <c r="E65" s="13">
        <f>D65+E64</f>
        <v/>
      </c>
      <c r="F65" s="13">
        <f>E65+F64</f>
        <v/>
      </c>
      <c r="G65" s="13">
        <f>F65+G64</f>
        <v/>
      </c>
      <c r="H65" s="13">
        <f>G65+H64</f>
        <v/>
      </c>
      <c r="I65" s="13">
        <f>H65+I64</f>
        <v/>
      </c>
      <c r="J65" s="13">
        <f>I65+J64</f>
        <v/>
      </c>
      <c r="K65" s="13">
        <f>J65+K64</f>
        <v/>
      </c>
      <c r="L65" s="13">
        <f>K65+L64</f>
        <v/>
      </c>
      <c r="M65" s="13">
        <f>L65+M64</f>
        <v/>
      </c>
      <c r="N65" s="1" t="n"/>
    </row>
    <row r="66">
      <c r="A66" s="1" t="n"/>
      <c r="B66" s="1" t="n"/>
      <c r="C66" s="1" t="n"/>
      <c r="D66" s="1" t="n"/>
      <c r="E66" s="1" t="n"/>
      <c r="F66" s="1" t="n"/>
      <c r="G66" s="1" t="n"/>
      <c r="H66" s="1" t="n"/>
      <c r="I66" s="1" t="n"/>
      <c r="J66" s="1" t="n"/>
      <c r="K66" s="1" t="n"/>
      <c r="L66" s="1" t="n"/>
      <c r="M66" s="1" t="n"/>
      <c r="N66" s="1" t="n"/>
    </row>
    <row r="67">
      <c r="A67" s="1" t="n"/>
      <c r="B67" s="25" t="inlineStr">
        <is>
          <t>Set the hold on Assumptions and the exit re-prices off the year after it; years past the hold zero out of the levered line. Debt is CUMIPMT and CUMPRINC, two interest-only years first. Nothing here is typed except the month-one rent.</t>
        </is>
      </c>
      <c r="C67" s="1" t="n"/>
      <c r="D67" s="1" t="n"/>
      <c r="E67" s="1" t="n"/>
      <c r="F67" s="1" t="n"/>
      <c r="G67" s="1" t="n"/>
      <c r="H67" s="1" t="n"/>
      <c r="I67" s="1" t="n"/>
      <c r="J67" s="1" t="n"/>
      <c r="K67" s="1" t="n"/>
      <c r="L67" s="1" t="n"/>
      <c r="M67" s="1" t="n"/>
      <c r="N67" s="1" t="n"/>
    </row>
    <row r="68">
      <c r="A68" s="1" t="n"/>
      <c r="B68" s="1" t="n"/>
      <c r="C68" s="1" t="n"/>
      <c r="D68" s="1" t="n"/>
      <c r="E68" s="1" t="n"/>
      <c r="F68" s="1" t="n"/>
      <c r="G68" s="1" t="n"/>
      <c r="H68" s="1" t="n"/>
      <c r="I68" s="1" t="n"/>
      <c r="J68" s="1" t="n"/>
      <c r="K68" s="1" t="n"/>
      <c r="L68" s="1" t="n"/>
      <c r="M68" s="1" t="n"/>
      <c r="N68" s="1" t="n"/>
    </row>
    <row r="69">
      <c r="A69" s="1" t="n"/>
      <c r="B69" s="1" t="n"/>
      <c r="C69" s="1" t="n"/>
      <c r="D69" s="1" t="n"/>
      <c r="E69" s="1" t="n"/>
      <c r="F69" s="1" t="n"/>
      <c r="G69" s="1" t="n"/>
      <c r="H69" s="1" t="n"/>
      <c r="I69" s="1" t="n"/>
      <c r="J69" s="1" t="n"/>
      <c r="K69" s="1" t="n"/>
      <c r="L69" s="1" t="n"/>
      <c r="M69" s="1" t="n"/>
      <c r="N69" s="1"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35"/>
  <sheetViews>
    <sheetView showGridLines="0" zoomScale="90" workbookViewId="0">
      <selection activeCell="A1" sqref="A1"/>
    </sheetView>
  </sheetViews>
  <sheetFormatPr baseColWidth="8" defaultRowHeight="15"/>
  <cols>
    <col width="2.6" customWidth="1" min="1" max="1"/>
    <col width="116" customWidth="1" min="2" max="2"/>
  </cols>
  <sheetData>
    <row r="1">
      <c r="A1" s="1" t="n"/>
      <c r="B1" s="1" t="n"/>
      <c r="C1" s="1" t="n"/>
      <c r="D1" s="1" t="n"/>
    </row>
    <row r="2">
      <c r="A2" s="1" t="n"/>
      <c r="B2" s="2" t="inlineStr">
        <is>
          <t>The Prompt</t>
        </is>
      </c>
      <c r="C2" s="1" t="n"/>
      <c r="D2" s="1" t="n"/>
    </row>
    <row r="3">
      <c r="A3" s="1" t="n"/>
      <c r="B3" s="3" t="inlineStr">
        <is>
          <t>Copy column B top to bottom into your own Claude, attach this workbook, and it will know the file inside and out before it touches a cell.</t>
        </is>
      </c>
      <c r="C3" s="1" t="n"/>
      <c r="D3" s="1" t="n"/>
    </row>
    <row r="4">
      <c r="A4" s="1" t="n"/>
      <c r="B4" s="1" t="n"/>
      <c r="C4" s="1" t="n"/>
      <c r="D4" s="1" t="n"/>
    </row>
    <row r="5" ht="14.4" customHeight="1">
      <c r="A5" s="1" t="n"/>
      <c r="B5" s="45" t="inlineStr">
        <is>
          <t>WHAT YOU ARE HOLDING</t>
        </is>
      </c>
      <c r="C5" s="1" t="n"/>
      <c r="D5" s="1" t="n"/>
    </row>
    <row r="6" ht="52.8" customHeight="1">
      <c r="A6" s="1" t="n"/>
      <c r="B6" s="46" t="inlineStr">
        <is>
          <t>This workbook is a soft underwriting model for a value-add multifamily acquisition. Soft means first pass: enough structure to price a deal and decide whether it earns a full underwrite, not an investment decision. Four tabs: Summary, Assumptions, Cash Flow, and this one. The live underwriter on justinzakariaie.com exports this same file with the run's numbers already seeded.</t>
        </is>
      </c>
      <c r="C6" s="1" t="n"/>
      <c r="D6" s="1" t="n"/>
    </row>
    <row r="7" ht="14.4" customHeight="1">
      <c r="A7" s="1" t="n"/>
      <c r="B7" s="45" t="inlineStr">
        <is>
          <t>HOW TO USE THIS PROMPT</t>
        </is>
      </c>
      <c r="C7" s="1" t="n"/>
      <c r="D7" s="1" t="n"/>
    </row>
    <row r="8" ht="39.59999999999999" customHeight="1">
      <c r="A8" s="1" t="n"/>
      <c r="B8" s="46" t="inlineStr">
        <is>
          <t>Attach this workbook to a conversation with me (Claude) and paste this entire column. Then give me whatever deal information you have: an offering memorandum, a rent roll, a T-12, broker guidance, or numbers typed loose. I will map them into this file the right way.</t>
        </is>
      </c>
      <c r="C8" s="1" t="n"/>
      <c r="D8" s="1" t="n"/>
    </row>
    <row r="9" ht="14.4" customHeight="1">
      <c r="A9" s="1" t="n"/>
      <c r="B9" s="45" t="inlineStr">
        <is>
          <t>THE MAP OF THE FILE</t>
        </is>
      </c>
      <c r="C9" s="1" t="n"/>
      <c r="D9" s="1" t="n"/>
    </row>
    <row r="10" ht="92.39999999999999" customHeight="1">
      <c r="A10" s="1" t="n"/>
      <c r="B10" s="46" t="inlineStr">
        <is>
          <t>Assumptions, left panel: property information with the unit count in E12 and average unit SF in E13. Key dates run in months, and the hold in C23 is the lever that matters: the exit month computes from it and the whole exit re-prices when you change it. Sources &amp; Uses: purchase price is a per-unit figure in C27 times units, closing costs and the sponsor acquisition fee are percents of price, capital improvements are per unit in C30, and debt financing costs read the origination fee off the financing block. Total uses lands in E33; the loan, LP and GP equity, and the sources check sit below it, then the tax block and growth rates.</t>
        </is>
      </c>
      <c r="C10" s="1" t="n"/>
      <c r="D10" s="1" t="n"/>
    </row>
    <row r="11" ht="92.39999999999999" customHeight="1">
      <c r="A11" s="1" t="n"/>
      <c r="B11" s="46" t="inlineStr">
        <is>
          <t>Assumptions, right panel: economic vacancy splits into general vacancy, concessions, and bad debt, each with a year-1 column (I) and a stabilized column (J), rows 7 to 9. Other income is four lines, rows 14 to 17. Operating expenses run per unit per year in column I, rows 22 to 27, with the monthly figure, the year-1 dollars, and the share of EGI computing beside each line; the management fee is a percent of EGI in I29. The financing block holds LTV, then the rate: set J42 to Fixed or Floating, and the all-in rate in J50 takes the fixed rate or index plus spread accordingly. Interest-only period, amortization, term, and origination close the block, and the loan commitment computes in J51.</t>
        </is>
      </c>
      <c r="C11" s="1" t="n"/>
      <c r="D11" s="1" t="n"/>
    </row>
    <row r="12" ht="132" customHeight="1">
      <c r="A12" s="1" t="n"/>
      <c r="B12" s="46" t="inlineStr">
        <is>
          <t>Cash Flow runs ten operating years plus the forward year that prices the exit. The in-place rent is the one blue cell on the tab, C7. Row 8 is the growth applied each year (it reads the single growth lever; overwrite any year to shape the curve), row 9 compounds it, row 10 is the renovation ramp, row 11 blends the premium in. Row 13 is the vacancy applied each year, year one from the lease-up column and later years from stabilized; overwrite any year there too. Concessions and bad debt ride GPR, net rental income is row 17, other income grows to row 22, EGI is row 23. Expenses run itemized to row 34; NOI is row 36. Below the line, reserves and the asset management fee net to row 42. Debt rows 46 to 51 are two interest-only years then CUMIPMT and CUMPRINC amortization. The exit block uses INDEX on the hold: forward NOI is the year after the hold, the payoff is the hold-year balance, and the levered line in row 64 zeroes every year past the hold so the IRR always matches the hold you set.</t>
        </is>
      </c>
      <c r="C12" s="1" t="n"/>
      <c r="D12" s="1" t="n"/>
    </row>
    <row r="13" ht="39.59999999999999" customHeight="1">
      <c r="A13" s="1" t="n"/>
      <c r="B13" s="46" t="inlineStr">
        <is>
          <t>Summary: sources and uses with percent, dollars, and per-unit columns; returns in row 7 (IRR, equity multiple, profit over the levered line); the debt summary; pro forma milestones for year-1, stabilized, and the at-sale year; and the investment metrics block.</t>
        </is>
      </c>
      <c r="C13" s="1" t="n"/>
      <c r="D13" s="1" t="n"/>
    </row>
    <row r="14" ht="14.4" customHeight="1">
      <c r="A14" s="1" t="n"/>
      <c r="B14" s="45" t="inlineStr">
        <is>
          <t>THE RULES YOU OPERATE UNDER</t>
        </is>
      </c>
      <c r="C14" s="1" t="n"/>
      <c r="D14" s="1" t="n"/>
    </row>
    <row r="15" ht="26.4" customHeight="1">
      <c r="A15" s="1" t="n"/>
      <c r="B15" s="45" t="inlineStr">
        <is>
          <t>1. Write to blue input cells only. Blue font is the convention for inputs throughout; everything in black computes. Never write to a formula cell anywhere in this workbook.</t>
        </is>
      </c>
      <c r="C15" s="1" t="n"/>
      <c r="D15" s="1" t="n"/>
    </row>
    <row r="16" ht="26.4" customHeight="1">
      <c r="A16" s="1" t="n"/>
      <c r="B16" s="45" t="inlineStr">
        <is>
          <t>2. Never assert a number you did not read back out of the recalculated file. After you set inputs, read the Summary outputs and quote them exactly.</t>
        </is>
      </c>
      <c r="C16" s="1" t="n"/>
      <c r="D16" s="1" t="n"/>
    </row>
    <row r="17" ht="26.4" customHeight="1">
      <c r="A17" s="1" t="n"/>
      <c r="B17" s="45" t="inlineStr">
        <is>
          <t>3. Every assumption that drives the return gets flagged to the human, never silently chosen: exit cap, rent growth, the premium, the hold, and the expense build above all.</t>
        </is>
      </c>
      <c r="C17" s="1" t="n"/>
      <c r="D17" s="1" t="n"/>
    </row>
    <row r="18" ht="26.4" customHeight="1">
      <c r="A18" s="1" t="n"/>
      <c r="B18" s="45" t="inlineStr">
        <is>
          <t>4. If the source documents disagree with each other, say so before you pick a side, and show both numbers.</t>
        </is>
      </c>
      <c r="C18" s="1" t="n"/>
      <c r="D18" s="1" t="n"/>
    </row>
    <row r="19" ht="26.4" customHeight="1">
      <c r="A19" s="1" t="n"/>
      <c r="B19" s="45" t="inlineStr">
        <is>
          <t>5. If a number you need is missing, ask for it. Do not fill it with a typical value without labeling it as such in your reply.</t>
        </is>
      </c>
      <c r="C19" s="1" t="n"/>
      <c r="D19" s="1" t="n"/>
    </row>
    <row r="20" ht="14.4" customHeight="1">
      <c r="A20" s="1" t="n"/>
      <c r="B20" s="45" t="inlineStr">
        <is>
          <t>WHAT TO DO WITH THE USER'S DATA</t>
        </is>
      </c>
      <c r="C20" s="1" t="n"/>
      <c r="D20" s="1" t="n"/>
    </row>
    <row r="21" ht="79.19999999999999" customHeight="1">
      <c r="A21" s="1" t="n"/>
      <c r="B21" s="46" t="inlineStr">
        <is>
          <t>From a rent roll: the unit count, and the average in-place rent as the occupied units' rent total divided by occupied count. From a T-12: build the expense lines per unit per year and say what you mapped where; taxes come from the actual bill, then reassess off the new basis. From an OM: treat asking price over units as the per-unit price, and treat any stated premium as unverified until a comp supports it. From a debt quote: fixed or floating, and if floating, the index and spread separately so the rate block stays honest.</t>
        </is>
      </c>
      <c r="C21" s="1" t="n"/>
      <c r="D21" s="1" t="n"/>
    </row>
    <row r="22" ht="14.4" customHeight="1">
      <c r="A22" s="1" t="n"/>
      <c r="B22" s="45" t="inlineStr">
        <is>
          <t>THEN ASK THESE TEN QUESTIONS, ONE LIST, BEFORE FINALIZING</t>
        </is>
      </c>
      <c r="C22" s="1" t="n"/>
      <c r="D22" s="1" t="n"/>
    </row>
    <row r="23" ht="14.4" customHeight="1">
      <c r="A23" s="1" t="n"/>
      <c r="B23" s="45" t="inlineStr">
        <is>
          <t>1. Is the in-place rent from an actual rent roll, and from what date?</t>
        </is>
      </c>
      <c r="C23" s="1" t="n"/>
      <c r="D23" s="1" t="n"/>
    </row>
    <row r="24" ht="26.4" customHeight="1">
      <c r="A24" s="1" t="n"/>
      <c r="B24" s="45" t="inlineStr">
        <is>
          <t>2. Is the vacancy split physical or economic, and what does the T-12 actually show for concessions and bad debt?</t>
        </is>
      </c>
      <c r="C24" s="1" t="n"/>
      <c r="D24" s="1" t="n"/>
    </row>
    <row r="25" ht="14.4" customHeight="1">
      <c r="A25" s="1" t="n"/>
      <c r="B25" s="45" t="inlineStr">
        <is>
          <t>3. What renovation scope is behind the premium, and has a unit on this asset achieved it?</t>
        </is>
      </c>
      <c r="C25" s="1" t="n"/>
      <c r="D25" s="1" t="n"/>
    </row>
    <row r="26" ht="14.4" customHeight="1">
      <c r="A26" s="1" t="n"/>
      <c r="B26" s="45" t="inlineStr">
        <is>
          <t>4. Is the exit cap wider or tighter than the going-in cap, and what justifies the spread?</t>
        </is>
      </c>
      <c r="C26" s="1" t="n"/>
      <c r="D26" s="1" t="n"/>
    </row>
    <row r="27" ht="26.4" customHeight="1">
      <c r="A27" s="1" t="n"/>
      <c r="B27" s="45" t="inlineStr">
        <is>
          <t>5. What is the real tax bill after reassessment at this price, and does the assessed share match the county's practice?</t>
        </is>
      </c>
      <c r="C27" s="1" t="n"/>
      <c r="D27" s="1" t="n"/>
    </row>
    <row r="28" ht="26.4" customHeight="1">
      <c r="A28" s="1" t="n"/>
      <c r="B28" s="45" t="inlineStr">
        <is>
          <t>6. Is the debt quote current, is it fixed or floating, and does it come with the interest-only period as modeled?</t>
        </is>
      </c>
      <c r="C28" s="1" t="n"/>
      <c r="D28" s="1" t="n"/>
    </row>
    <row r="29" ht="14.4" customHeight="1">
      <c r="A29" s="1" t="n"/>
      <c r="B29" s="45" t="inlineStr">
        <is>
          <t>7. What did insurance actually quote in this market this year, not last year?</t>
        </is>
      </c>
      <c r="C29" s="1" t="n"/>
      <c r="D29" s="1" t="n"/>
    </row>
    <row r="30" ht="14.4" customHeight="1">
      <c r="A30" s="1" t="n"/>
      <c r="B30" s="45" t="inlineStr">
        <is>
          <t>8. Are there deferred maintenance items outside the capital improvements budget?</t>
        </is>
      </c>
      <c r="C30" s="1" t="n"/>
      <c r="D30" s="1" t="n"/>
    </row>
    <row r="31" ht="14.4" customHeight="1">
      <c r="A31" s="1" t="n"/>
      <c r="B31" s="45" t="inlineStr">
        <is>
          <t>9. What hold does the strategy actually call for, since the exit re-prices off it?</t>
        </is>
      </c>
      <c r="C31" s="1" t="n"/>
      <c r="D31" s="1" t="n"/>
    </row>
    <row r="32" ht="26.4" customHeight="1">
      <c r="A32" s="1" t="n"/>
      <c r="B32" s="46" t="inlineStr">
        <is>
          <t>10. Who operates this after close, and do the expense lines reflect their cost structure or the seller's?</t>
        </is>
      </c>
      <c r="C32" s="1" t="n"/>
      <c r="D32" s="1" t="n"/>
    </row>
    <row r="33">
      <c r="A33" s="1" t="n"/>
      <c r="B33" s="1" t="n"/>
      <c r="C33" s="1" t="n"/>
      <c r="D33" s="1" t="n"/>
    </row>
    <row r="34">
      <c r="A34" s="1" t="n"/>
      <c r="B34" s="1" t="n"/>
      <c r="C34" s="1" t="n"/>
      <c r="D34" s="1" t="n"/>
    </row>
    <row r="35">
      <c r="A35" s="1" t="n"/>
      <c r="B35" s="1" t="n"/>
      <c r="C35" s="1" t="n"/>
      <c r="D35" s="1"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Justin Zakariaie</dc:creator>
  <dc:title>Soft multifamily underwriting model</dc:title>
  <dcterms:created xsi:type="dcterms:W3CDTF">2026-08-30T16:03:01Z</dcterms:created>
  <dcterms:modified xsi:type="dcterms:W3CDTF">2026-08-30T16:03:01Z</dcterms:modified>
</cp:coreProperties>
</file>